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HOENE\Neuauflage DLG-Merkblatt 418\"/>
    </mc:Choice>
  </mc:AlternateContent>
  <bookViews>
    <workbookView xWindow="0" yWindow="0" windowWidth="28800" windowHeight="12300" activeTab="1"/>
  </bookViews>
  <sheets>
    <sheet name="Anleitung" sheetId="5" r:id="rId1"/>
    <sheet name="Rechnung_Mast" sheetId="1" r:id="rId2"/>
    <sheet name="Rechnung_Ferkel" sheetId="6" r:id="rId3"/>
    <sheet name="Daten" sheetId="2" r:id="rId4"/>
  </sheets>
  <definedNames>
    <definedName name="Bereich">Daten!$H$1:$I$121</definedName>
    <definedName name="_xlnm.Print_Area" localSheetId="2">Rechnung_Ferkel!$A$1:$H$39</definedName>
    <definedName name="_xlnm.Print_Area" localSheetId="1">Rechnung_Mast!$A$1:$H$40</definedName>
    <definedName name="Faktor" localSheetId="2">Rechnung_Ferkel!$L$6</definedName>
    <definedName name="Faktor">Rechnung_Mast!$L$6</definedName>
    <definedName name="OLE_LINK1" localSheetId="0">Anleitung!#REF!</definedName>
    <definedName name="OLE_LINK2" localSheetId="0">Anleitung!$B$2</definedName>
  </definedNames>
  <calcPr calcId="162913"/>
</workbook>
</file>

<file path=xl/calcChain.xml><?xml version="1.0" encoding="utf-8"?>
<calcChain xmlns="http://schemas.openxmlformats.org/spreadsheetml/2006/main">
  <c r="K5" i="1" l="1"/>
  <c r="K5" i="6"/>
  <c r="D1" i="1"/>
  <c r="C6" i="6" l="1"/>
  <c r="D6" i="6"/>
  <c r="E6" i="6"/>
  <c r="G13" i="6" l="1"/>
  <c r="F13" i="6"/>
  <c r="B13" i="6"/>
  <c r="H7" i="6"/>
  <c r="G6" i="6"/>
  <c r="G26" i="6" s="1"/>
  <c r="F6" i="6"/>
  <c r="F27" i="6" s="1"/>
  <c r="D1" i="6"/>
  <c r="H6" i="6" l="1"/>
  <c r="D13" i="6"/>
  <c r="G14" i="6"/>
  <c r="F15" i="6"/>
  <c r="G16" i="6"/>
  <c r="F17" i="6"/>
  <c r="G18" i="6"/>
  <c r="F19" i="6"/>
  <c r="F21" i="6"/>
  <c r="G22" i="6"/>
  <c r="F23" i="6"/>
  <c r="F26" i="6"/>
  <c r="G27" i="6"/>
  <c r="C13" i="6"/>
  <c r="E13" i="6"/>
  <c r="F14" i="6"/>
  <c r="G15" i="6"/>
  <c r="F16" i="6"/>
  <c r="G17" i="6"/>
  <c r="F18" i="6"/>
  <c r="G19" i="6"/>
  <c r="G21" i="6"/>
  <c r="F22" i="6"/>
  <c r="G23" i="6"/>
  <c r="F6" i="1"/>
  <c r="H13" i="6" l="1"/>
  <c r="B13" i="1"/>
  <c r="F13" i="1"/>
  <c r="G13" i="1"/>
  <c r="D6" i="1"/>
  <c r="D13" i="1" s="1"/>
  <c r="E6" i="1"/>
  <c r="E13" i="1" s="1"/>
  <c r="G6" i="1"/>
  <c r="C6" i="1"/>
  <c r="C13" i="1" s="1"/>
  <c r="K6" i="6" l="1"/>
  <c r="L6" i="6" s="1"/>
  <c r="E14" i="6"/>
  <c r="E15" i="6" s="1"/>
  <c r="E16" i="6" s="1"/>
  <c r="E17" i="6" s="1"/>
  <c r="D14" i="6"/>
  <c r="D15" i="6" s="1"/>
  <c r="D18" i="6" s="1"/>
  <c r="D19" i="6" s="1"/>
  <c r="D26" i="6" s="1"/>
  <c r="H13" i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" i="2"/>
  <c r="H6" i="1"/>
  <c r="H7" i="1"/>
  <c r="B14" i="6" l="1"/>
  <c r="B15" i="6" s="1"/>
  <c r="C14" i="6"/>
  <c r="C15" i="6" s="1"/>
  <c r="C16" i="6" s="1"/>
  <c r="C17" i="6" s="1"/>
  <c r="C18" i="6"/>
  <c r="C19" i="6" s="1"/>
  <c r="C26" i="6" s="1"/>
  <c r="C21" i="6"/>
  <c r="C22" i="6" s="1"/>
  <c r="C23" i="6" s="1"/>
  <c r="D21" i="6"/>
  <c r="D22" i="6" s="1"/>
  <c r="D27" i="6" s="1"/>
  <c r="H14" i="6"/>
  <c r="E21" i="6"/>
  <c r="E22" i="6" s="1"/>
  <c r="E18" i="6"/>
  <c r="E19" i="6" s="1"/>
  <c r="E26" i="6" s="1"/>
  <c r="D16" i="6"/>
  <c r="D17" i="6" s="1"/>
  <c r="B18" i="6"/>
  <c r="B16" i="6"/>
  <c r="B21" i="6"/>
  <c r="H15" i="6"/>
  <c r="K6" i="1"/>
  <c r="L6" i="1" s="1"/>
  <c r="H8" i="6" l="1"/>
  <c r="C27" i="6"/>
  <c r="D23" i="6"/>
  <c r="E23" i="6"/>
  <c r="E27" i="6"/>
  <c r="H16" i="6"/>
  <c r="B17" i="6"/>
  <c r="B22" i="6"/>
  <c r="H21" i="6"/>
  <c r="H10" i="6" s="1"/>
  <c r="H18" i="6"/>
  <c r="H9" i="6" s="1"/>
  <c r="B19" i="6"/>
  <c r="E14" i="1"/>
  <c r="E15" i="1" s="1"/>
  <c r="G14" i="1"/>
  <c r="G15" i="1" s="1"/>
  <c r="F14" i="1"/>
  <c r="F15" i="1" s="1"/>
  <c r="B27" i="6" l="1"/>
  <c r="H22" i="6"/>
  <c r="H27" i="6" s="1"/>
  <c r="B23" i="6"/>
  <c r="H23" i="6" s="1"/>
  <c r="H24" i="6" s="1"/>
  <c r="H11" i="6"/>
  <c r="H17" i="6"/>
  <c r="B26" i="6"/>
  <c r="H19" i="6"/>
  <c r="C14" i="1"/>
  <c r="C15" i="1" s="1"/>
  <c r="C21" i="1" s="1"/>
  <c r="C22" i="1" s="1"/>
  <c r="C27" i="1" s="1"/>
  <c r="E16" i="1"/>
  <c r="E17" i="1" s="1"/>
  <c r="E18" i="1"/>
  <c r="E19" i="1" s="1"/>
  <c r="E26" i="1" s="1"/>
  <c r="E21" i="1"/>
  <c r="E22" i="1" s="1"/>
  <c r="E27" i="1" s="1"/>
  <c r="D14" i="1"/>
  <c r="D15" i="1" s="1"/>
  <c r="D16" i="1" s="1"/>
  <c r="D17" i="1" s="1"/>
  <c r="B14" i="1"/>
  <c r="B15" i="1" s="1"/>
  <c r="B16" i="1" s="1"/>
  <c r="G18" i="1"/>
  <c r="G19" i="1" s="1"/>
  <c r="G26" i="1" s="1"/>
  <c r="G21" i="1"/>
  <c r="G22" i="1" s="1"/>
  <c r="G16" i="1"/>
  <c r="G17" i="1" s="1"/>
  <c r="F18" i="1"/>
  <c r="F19" i="1" s="1"/>
  <c r="F26" i="1" s="1"/>
  <c r="F21" i="1"/>
  <c r="F22" i="1" s="1"/>
  <c r="F16" i="1"/>
  <c r="F17" i="1" s="1"/>
  <c r="B18" i="1" l="1"/>
  <c r="B19" i="1" s="1"/>
  <c r="B26" i="1" s="1"/>
  <c r="B21" i="1"/>
  <c r="B22" i="1" s="1"/>
  <c r="B27" i="1" s="1"/>
  <c r="H20" i="6"/>
  <c r="H26" i="6"/>
  <c r="E23" i="1"/>
  <c r="D18" i="1"/>
  <c r="D19" i="1" s="1"/>
  <c r="D26" i="1" s="1"/>
  <c r="C23" i="1"/>
  <c r="C16" i="1"/>
  <c r="C17" i="1" s="1"/>
  <c r="D21" i="1"/>
  <c r="D22" i="1" s="1"/>
  <c r="D23" i="1" s="1"/>
  <c r="C18" i="1"/>
  <c r="C19" i="1" s="1"/>
  <c r="C26" i="1" s="1"/>
  <c r="H14" i="1"/>
  <c r="H15" i="1"/>
  <c r="G23" i="1"/>
  <c r="G27" i="1"/>
  <c r="F27" i="1"/>
  <c r="F23" i="1"/>
  <c r="B17" i="1"/>
  <c r="D27" i="1" l="1"/>
  <c r="B23" i="1"/>
  <c r="H19" i="1"/>
  <c r="H20" i="1" s="1"/>
  <c r="H18" i="1"/>
  <c r="H9" i="1" s="1"/>
  <c r="H16" i="1"/>
  <c r="H11" i="1" s="1"/>
  <c r="H22" i="1"/>
  <c r="H27" i="1" s="1"/>
  <c r="H21" i="1"/>
  <c r="H10" i="1" s="1"/>
  <c r="H8" i="1"/>
  <c r="H23" i="1"/>
  <c r="H24" i="1" s="1"/>
  <c r="H26" i="1" l="1"/>
  <c r="H17" i="1"/>
</calcChain>
</file>

<file path=xl/sharedStrings.xml><?xml version="1.0" encoding="utf-8"?>
<sst xmlns="http://schemas.openxmlformats.org/spreadsheetml/2006/main" count="155" uniqueCount="62">
  <si>
    <t>Futtermenge (kg):</t>
  </si>
  <si>
    <t>Futterkosten (€):</t>
  </si>
  <si>
    <t>Futterkosten pro kg Zuwachs (€):</t>
  </si>
  <si>
    <t>N-Aufnahme (kg):</t>
  </si>
  <si>
    <t>N-Ausscheidung (kg):</t>
  </si>
  <si>
    <t>P-Aufnahme (g):</t>
  </si>
  <si>
    <t>P-Ausscheidung (g):</t>
  </si>
  <si>
    <t>N-Ausscheidung pro kg Zuwachs (g):</t>
  </si>
  <si>
    <t>P-Ausscheidung pro kg Zuwachs (g):</t>
  </si>
  <si>
    <t>Abschnitt bis … kg</t>
  </si>
  <si>
    <t>Abschnitt von … kg</t>
  </si>
  <si>
    <t>Energiebedarf, MJ ME in Abschnitt</t>
  </si>
  <si>
    <t>-</t>
  </si>
  <si>
    <r>
      <t xml:space="preserve">Summe bzw. </t>
    </r>
    <r>
      <rPr>
        <b/>
        <sz val="14"/>
        <color theme="1"/>
        <rFont val="Calibri"/>
        <family val="2"/>
      </rPr>
      <t>Ø</t>
    </r>
    <r>
      <rPr>
        <b/>
        <sz val="14"/>
        <color theme="1"/>
        <rFont val="Calibri"/>
        <family val="2"/>
        <scheme val="minor"/>
      </rPr>
      <t>:</t>
    </r>
  </si>
  <si>
    <t>Energiebedarf (MJ ME) - Standard:</t>
  </si>
  <si>
    <t>ME, MJ / kg Futter</t>
  </si>
  <si>
    <t>Rohprotein, g / kg Futter</t>
  </si>
  <si>
    <t>Phosphor, g / kg Futter</t>
  </si>
  <si>
    <t>Futterpreis, EUR / dt</t>
  </si>
  <si>
    <r>
      <t>P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5</t>
    </r>
    <r>
      <rPr>
        <sz val="14"/>
        <color theme="1"/>
        <rFont val="Calibri"/>
        <family val="2"/>
        <scheme val="minor"/>
      </rPr>
      <t>-Anfall (kg):</t>
    </r>
  </si>
  <si>
    <t>x</t>
  </si>
  <si>
    <t>Phase 1</t>
  </si>
  <si>
    <t>Phase 2</t>
  </si>
  <si>
    <t>Phase 3</t>
  </si>
  <si>
    <t>Phase 4</t>
  </si>
  <si>
    <t>Phase 5</t>
  </si>
  <si>
    <t>Phase 6</t>
  </si>
  <si>
    <t>N-Aussch./Mastplatz u. Jahr (kg):</t>
  </si>
  <si>
    <r>
      <t>P</t>
    </r>
    <r>
      <rPr>
        <b/>
        <vertAlign val="subscript"/>
        <sz val="14"/>
        <color rgb="FFC00000"/>
        <rFont val="Calibri"/>
        <family val="2"/>
        <scheme val="minor"/>
      </rPr>
      <t>2</t>
    </r>
    <r>
      <rPr>
        <b/>
        <sz val="14"/>
        <color rgb="FFC00000"/>
        <rFont val="Calibri"/>
        <family val="2"/>
        <scheme val="minor"/>
      </rPr>
      <t>O</t>
    </r>
    <r>
      <rPr>
        <b/>
        <vertAlign val="subscript"/>
        <sz val="14"/>
        <color rgb="FFC00000"/>
        <rFont val="Calibri"/>
        <family val="2"/>
        <scheme val="minor"/>
      </rPr>
      <t>5</t>
    </r>
    <r>
      <rPr>
        <b/>
        <sz val="14"/>
        <color rgb="FFC00000"/>
        <rFont val="Calibri"/>
        <family val="2"/>
        <scheme val="minor"/>
      </rPr>
      <t>-Anfall/Mastplatz u. Jahr (kg):</t>
    </r>
  </si>
  <si>
    <t>Umtriebe:</t>
  </si>
  <si>
    <t>850g tägl. Zunahme / 2,73 Durchgänge / 246kg Zuwachs</t>
  </si>
  <si>
    <t>950g tägl. Zunahme / 2,97 Durchgänge / 267kg Zuwachs</t>
  </si>
  <si>
    <t>Feldweg 99</t>
  </si>
  <si>
    <t>98765 Überall</t>
  </si>
  <si>
    <t>Bitte Phasen mit "x" auswählen</t>
  </si>
  <si>
    <t>Ebermast (50% Eber) / 2,73 Durchgänge / 246kg Zuwachs</t>
  </si>
  <si>
    <t>"Standardwert"</t>
  </si>
  <si>
    <t>Ferkelmast GbR</t>
  </si>
  <si>
    <t>Energiebedarf (MJ ME) - (n. Eingabe):</t>
  </si>
  <si>
    <r>
      <rPr>
        <b/>
        <sz val="14"/>
        <color theme="1"/>
        <rFont val="Calibri"/>
        <family val="2"/>
      </rPr>
      <t xml:space="preserve">← </t>
    </r>
    <r>
      <rPr>
        <b/>
        <i/>
        <sz val="14"/>
        <color theme="1"/>
        <rFont val="Calibri"/>
        <family val="2"/>
        <scheme val="minor"/>
      </rPr>
      <t>Betrieb</t>
    </r>
  </si>
  <si>
    <t>← Straße</t>
  </si>
  <si>
    <t>← PLZ Ort</t>
  </si>
  <si>
    <t>A U S W A H L</t>
  </si>
  <si>
    <t>Rohprotein:</t>
  </si>
  <si>
    <t>Phosphor:</t>
  </si>
  <si>
    <t xml:space="preserve">"           </t>
  </si>
  <si>
    <r>
      <t>MJ ME / kg Zuwachs:</t>
    </r>
    <r>
      <rPr>
        <sz val="12"/>
        <color theme="1"/>
        <rFont val="Calibri"/>
        <family val="2"/>
        <scheme val="minor"/>
      </rPr>
      <t xml:space="preserve"> (nach Auswahl)</t>
    </r>
  </si>
  <si>
    <r>
      <t xml:space="preserve">vgl. </t>
    </r>
    <r>
      <rPr>
        <b/>
        <i/>
        <u/>
        <sz val="12"/>
        <color theme="1"/>
        <rFont val="Calibri"/>
        <family val="2"/>
        <scheme val="minor"/>
      </rPr>
      <t xml:space="preserve">DLG, Band 199:
</t>
    </r>
    <r>
      <rPr>
        <i/>
        <sz val="11"/>
        <color theme="1"/>
        <rFont val="Calibri"/>
        <family val="2"/>
        <scheme val="minor"/>
      </rPr>
      <t xml:space="preserve"> "Bilanzierung der Nährstoffaus-scheidungen landw. Nutztiere",
2. Auflage 2014</t>
    </r>
  </si>
  <si>
    <r>
      <rPr>
        <b/>
        <sz val="10"/>
        <color theme="1"/>
        <rFont val="Times New Roman"/>
        <family val="1"/>
      </rPr>
      <t>750g tägl. Zunahme / 2,47</t>
    </r>
    <r>
      <rPr>
        <b/>
        <sz val="9.5"/>
        <color theme="1"/>
        <rFont val="Times New Roman"/>
        <family val="1"/>
      </rPr>
      <t xml:space="preserve"> Durchgänge / 222kg Zuwachs</t>
    </r>
  </si>
  <si>
    <t>B E M E R K U N G E N :</t>
  </si>
  <si>
    <r>
      <rPr>
        <b/>
        <sz val="10"/>
        <color theme="1"/>
        <rFont val="Times New Roman"/>
        <family val="1"/>
      </rPr>
      <t xml:space="preserve">450g tägl. Zunahme / 7 </t>
    </r>
    <r>
      <rPr>
        <b/>
        <sz val="9.5"/>
        <color theme="1"/>
        <rFont val="Times New Roman"/>
        <family val="1"/>
      </rPr>
      <t>Durchgänge / 140kg Zuwachs</t>
    </r>
  </si>
  <si>
    <t>500g tägl. Zunahme / 8 Durchgänge / 160kg Zuwachs</t>
  </si>
  <si>
    <t>Schweinemast GbR</t>
  </si>
  <si>
    <t>Ebermast (50% Eber) / 2,97 Durchgänge / 267kg Zuwachs</t>
  </si>
  <si>
    <r>
      <rPr>
        <b/>
        <i/>
        <sz val="12"/>
        <color theme="1"/>
        <rFont val="Calibri"/>
        <family val="2"/>
        <scheme val="minor"/>
      </rPr>
      <t>vgl. DLG-Merkblatt 418</t>
    </r>
    <r>
      <rPr>
        <i/>
        <sz val="12"/>
        <color theme="1"/>
        <rFont val="Calibri"/>
        <family val="2"/>
        <scheme val="minor"/>
      </rPr>
      <t xml:space="preserve">        (3. Auflage 10/2018)</t>
    </r>
  </si>
  <si>
    <t>Ebermast (100% Eber) / 2,85 Durchg. / 256,5kg Zuwachs</t>
  </si>
  <si>
    <r>
      <t>max.</t>
    </r>
    <r>
      <rPr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(144)</t>
    </r>
    <r>
      <rPr>
        <b/>
        <sz val="14"/>
        <color theme="1"/>
        <rFont val="Calibri"/>
        <family val="2"/>
        <scheme val="minor"/>
      </rPr>
      <t xml:space="preserve"> 154 g/kg bei den übrigen Verfahren</t>
    </r>
  </si>
  <si>
    <r>
      <t xml:space="preserve">max. </t>
    </r>
    <r>
      <rPr>
        <b/>
        <sz val="14"/>
        <color rgb="FFFF0000"/>
        <rFont val="Calibri"/>
        <family val="2"/>
        <scheme val="minor"/>
      </rPr>
      <t>(4,1)</t>
    </r>
    <r>
      <rPr>
        <b/>
        <sz val="14"/>
        <color theme="1"/>
        <rFont val="Calibri"/>
        <family val="2"/>
        <scheme val="minor"/>
      </rPr>
      <t xml:space="preserve"> 4,3 g/kg bei allen Verfahren</t>
    </r>
  </si>
  <si>
    <r>
      <t xml:space="preserve">max. </t>
    </r>
    <r>
      <rPr>
        <b/>
        <i/>
        <sz val="14"/>
        <color rgb="FFFF0000"/>
        <rFont val="Calibri"/>
        <family val="2"/>
        <scheme val="minor"/>
      </rPr>
      <t>(144)</t>
    </r>
    <r>
      <rPr>
        <i/>
        <sz val="14"/>
        <color theme="1"/>
        <rFont val="Calibri"/>
        <family val="2"/>
        <scheme val="minor"/>
      </rPr>
      <t xml:space="preserve"> 149 g/kg bei 750 g tägl. Zunahme</t>
    </r>
  </si>
  <si>
    <r>
      <t>max.</t>
    </r>
    <r>
      <rPr>
        <b/>
        <sz val="14"/>
        <color rgb="FFFF0000"/>
        <rFont val="Calibri"/>
        <family val="2"/>
        <scheme val="minor"/>
      </rPr>
      <t xml:space="preserve"> (172)</t>
    </r>
    <r>
      <rPr>
        <b/>
        <sz val="14"/>
        <color theme="1"/>
        <rFont val="Calibri"/>
        <family val="2"/>
        <scheme val="minor"/>
      </rPr>
      <t xml:space="preserve"> 178 g/kg bei beiden Verfahren</t>
    </r>
  </si>
  <si>
    <r>
      <t xml:space="preserve">max. </t>
    </r>
    <r>
      <rPr>
        <b/>
        <sz val="14"/>
        <color rgb="FFFF0000"/>
        <rFont val="Calibri"/>
        <family val="2"/>
        <scheme val="minor"/>
      </rPr>
      <t>(4,9)</t>
    </r>
    <r>
      <rPr>
        <b/>
        <sz val="14"/>
        <color theme="1"/>
        <rFont val="Calibri"/>
        <family val="2"/>
        <scheme val="minor"/>
      </rPr>
      <t xml:space="preserve"> 5,1 g/kg bei beiden Verfahren</t>
    </r>
  </si>
  <si>
    <r>
      <t xml:space="preserve">Anforderungen an das Futter für eine </t>
    </r>
    <r>
      <rPr>
        <b/>
        <sz val="14"/>
        <color rgb="FFFF0000"/>
        <rFont val="Calibri"/>
        <family val="2"/>
        <scheme val="minor"/>
      </rPr>
      <t>(sehr)</t>
    </r>
    <r>
      <rPr>
        <b/>
        <sz val="14"/>
        <color theme="1"/>
        <rFont val="Calibri"/>
        <family val="2"/>
        <scheme val="minor"/>
      </rPr>
      <t xml:space="preserve"> stark N-/P-reduzierte Fütterung (DLG, 2014 </t>
    </r>
    <r>
      <rPr>
        <b/>
        <sz val="14"/>
        <color rgb="FFFF0000"/>
        <rFont val="Calibri"/>
        <family val="2"/>
        <scheme val="minor"/>
      </rPr>
      <t>u. 2018</t>
    </r>
    <r>
      <rPr>
        <b/>
        <sz val="14"/>
        <color theme="1"/>
        <rFont val="Calibri"/>
        <family val="2"/>
        <scheme val="minor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</si>
</sst>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;;;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vertAlign val="subscript"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vertAlign val="subscript"/>
      <sz val="14"/>
      <color rgb="FFC00000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00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</xf>
    <xf numFmtId="2" fontId="1" fillId="2" borderId="0" xfId="0" applyNumberFormat="1" applyFont="1" applyFill="1" applyAlignment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2" xfId="0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2" fontId="1" fillId="4" borderId="0" xfId="0" applyNumberFormat="1" applyFont="1" applyFill="1" applyAlignment="1" applyProtection="1">
      <alignment vertical="center"/>
      <protection locked="0"/>
    </xf>
    <xf numFmtId="1" fontId="3" fillId="5" borderId="2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6" fillId="0" borderId="20" xfId="0" applyFont="1" applyBorder="1" applyAlignment="1" applyProtection="1">
      <alignment horizontal="left" vertical="top" wrapText="1"/>
      <protection locked="0"/>
    </xf>
    <xf numFmtId="0" fontId="16" fillId="0" borderId="21" xfId="0" applyFont="1" applyBorder="1" applyAlignment="1" applyProtection="1">
      <alignment horizontal="left" vertical="top" wrapText="1"/>
      <protection locked="0"/>
    </xf>
    <xf numFmtId="0" fontId="16" fillId="0" borderId="22" xfId="0" applyFont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24" xfId="0" applyFont="1" applyBorder="1" applyAlignment="1" applyProtection="1">
      <alignment horizontal="left" vertical="top" wrapText="1"/>
      <protection locked="0"/>
    </xf>
    <xf numFmtId="0" fontId="16" fillId="0" borderId="25" xfId="0" applyFont="1" applyBorder="1" applyAlignment="1" applyProtection="1">
      <alignment horizontal="left" vertical="top" wrapText="1"/>
      <protection locked="0"/>
    </xf>
    <xf numFmtId="0" fontId="16" fillId="0" borderId="26" xfId="0" applyFont="1" applyBorder="1" applyAlignment="1" applyProtection="1">
      <alignment horizontal="left" vertical="top" wrapText="1"/>
      <protection locked="0"/>
    </xf>
    <xf numFmtId="0" fontId="16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 textRotation="180" wrapText="1"/>
    </xf>
    <xf numFmtId="0" fontId="9" fillId="0" borderId="18" xfId="0" applyFont="1" applyBorder="1" applyAlignment="1">
      <alignment horizontal="center" vertical="center" textRotation="180" wrapText="1"/>
    </xf>
    <xf numFmtId="0" fontId="9" fillId="0" borderId="19" xfId="0" applyFont="1" applyBorder="1" applyAlignment="1">
      <alignment horizontal="center" vertical="center" textRotation="180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</cellXfs>
  <cellStyles count="1">
    <cellStyle name="Standard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9900"/>
      <color rgb="FF66CCFF"/>
      <color rgb="FFCC66FF"/>
      <color rgb="FFFFFF99"/>
      <color rgb="FFFFCC99"/>
      <color rgb="FFCCFF33"/>
      <color rgb="FFCCCC0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</xdr:col>
          <xdr:colOff>5905500</xdr:colOff>
          <xdr:row>3</xdr:row>
          <xdr:rowOff>142875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43295</xdr:colOff>
      <xdr:row>7</xdr:row>
      <xdr:rowOff>34636</xdr:rowOff>
    </xdr:from>
    <xdr:to>
      <xdr:col>11</xdr:col>
      <xdr:colOff>371475</xdr:colOff>
      <xdr:row>12</xdr:row>
      <xdr:rowOff>173182</xdr:rowOff>
    </xdr:to>
    <xdr:sp macro="" textlink="">
      <xdr:nvSpPr>
        <xdr:cNvPr id="3" name="Geschweifte Klammer rechts 2"/>
        <xdr:cNvSpPr/>
      </xdr:nvSpPr>
      <xdr:spPr>
        <a:xfrm>
          <a:off x="9654886" y="2008909"/>
          <a:ext cx="328180" cy="1350818"/>
        </a:xfrm>
        <a:prstGeom prst="rightBrace">
          <a:avLst/>
        </a:prstGeom>
        <a:ln w="412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43296</xdr:colOff>
      <xdr:row>13</xdr:row>
      <xdr:rowOff>51955</xdr:rowOff>
    </xdr:from>
    <xdr:to>
      <xdr:col>11</xdr:col>
      <xdr:colOff>355024</xdr:colOff>
      <xdr:row>18</xdr:row>
      <xdr:rowOff>190501</xdr:rowOff>
    </xdr:to>
    <xdr:sp macro="" textlink="">
      <xdr:nvSpPr>
        <xdr:cNvPr id="5" name="Geschweifte Klammer rechts 4"/>
        <xdr:cNvSpPr/>
      </xdr:nvSpPr>
      <xdr:spPr>
        <a:xfrm>
          <a:off x="10235046" y="3489614"/>
          <a:ext cx="311728" cy="1359478"/>
        </a:xfrm>
        <a:prstGeom prst="rightBrace">
          <a:avLst/>
        </a:prstGeom>
        <a:ln w="412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77932</xdr:colOff>
      <xdr:row>7</xdr:row>
      <xdr:rowOff>51954</xdr:rowOff>
    </xdr:from>
    <xdr:to>
      <xdr:col>11</xdr:col>
      <xdr:colOff>386195</xdr:colOff>
      <xdr:row>10</xdr:row>
      <xdr:rowOff>181841</xdr:rowOff>
    </xdr:to>
    <xdr:sp macro="" textlink="">
      <xdr:nvSpPr>
        <xdr:cNvPr id="4" name="Geschweifte Klammer rechts 3"/>
        <xdr:cNvSpPr/>
      </xdr:nvSpPr>
      <xdr:spPr>
        <a:xfrm>
          <a:off x="10035887" y="2034886"/>
          <a:ext cx="308263" cy="857250"/>
        </a:xfrm>
        <a:prstGeom prst="rightBrace">
          <a:avLst/>
        </a:prstGeom>
        <a:ln w="412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2:B5"/>
  <sheetViews>
    <sheetView zoomScale="130" zoomScaleNormal="130" workbookViewId="0">
      <selection activeCell="B2" sqref="B2"/>
    </sheetView>
  </sheetViews>
  <sheetFormatPr baseColWidth="10" defaultRowHeight="15" x14ac:dyDescent="0.25"/>
  <cols>
    <col min="1" max="1" width="6.140625" customWidth="1"/>
    <col min="2" max="2" width="121.5703125" customWidth="1"/>
  </cols>
  <sheetData>
    <row r="2" spans="2:2" s="37" customFormat="1" ht="400.5" customHeight="1" x14ac:dyDescent="0.3">
      <c r="B2" s="40"/>
    </row>
    <row r="3" spans="2:2" ht="18.75" x14ac:dyDescent="0.3">
      <c r="B3" s="38"/>
    </row>
    <row r="4" spans="2:2" ht="18.75" x14ac:dyDescent="0.3">
      <c r="B4" s="38"/>
    </row>
    <row r="5" spans="2:2" ht="18.75" x14ac:dyDescent="0.3">
      <c r="B5" s="39"/>
    </row>
  </sheetData>
  <sheetProtection password="E9E4" sheet="1" objects="1" scenarios="1"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4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5905500</xdr:colOff>
                <xdr:row>3</xdr:row>
                <xdr:rowOff>142875</xdr:rowOff>
              </to>
            </anchor>
          </objectPr>
        </oleObject>
      </mc:Choice>
      <mc:Fallback>
        <oleObject progId="Word.Document.12" shapeId="205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54"/>
  <sheetViews>
    <sheetView tabSelected="1" zoomScale="110" zoomScaleNormal="110" workbookViewId="0">
      <selection activeCell="K37" sqref="K37"/>
    </sheetView>
  </sheetViews>
  <sheetFormatPr baseColWidth="10" defaultRowHeight="18.75" x14ac:dyDescent="0.25"/>
  <cols>
    <col min="1" max="1" width="42" style="1" bestFit="1" customWidth="1"/>
    <col min="2" max="7" width="10" style="1" bestFit="1" customWidth="1"/>
    <col min="8" max="8" width="9.85546875" style="27" bestFit="1" customWidth="1"/>
    <col min="9" max="9" width="5.140625" style="42" customWidth="1"/>
    <col min="10" max="10" width="24.7109375" style="1" customWidth="1"/>
    <col min="11" max="11" width="11.140625" style="1" bestFit="1" customWidth="1"/>
    <col min="12" max="12" width="6.85546875" style="2" customWidth="1"/>
    <col min="13" max="13" width="27.7109375" style="34" customWidth="1"/>
    <col min="14" max="16384" width="11.42578125" style="1"/>
  </cols>
  <sheetData>
    <row r="1" spans="1:13" ht="18.75" customHeight="1" x14ac:dyDescent="0.25">
      <c r="A1" s="46" t="s">
        <v>52</v>
      </c>
      <c r="B1" s="101" t="s">
        <v>39</v>
      </c>
      <c r="C1" s="101"/>
      <c r="D1" s="106" t="str">
        <f>VLOOKUP("x",$I$8:$K$19,2,0)</f>
        <v>850g tägl. Zunahme / 2,73 Durchgänge / 246kg Zuwachs</v>
      </c>
      <c r="E1" s="107"/>
      <c r="F1" s="108"/>
      <c r="G1" s="46"/>
    </row>
    <row r="2" spans="1:13" ht="19.5" thickBot="1" x14ac:dyDescent="0.3">
      <c r="A2" s="46" t="s">
        <v>32</v>
      </c>
      <c r="B2" s="101" t="s">
        <v>40</v>
      </c>
      <c r="C2" s="101"/>
      <c r="D2" s="109"/>
      <c r="E2" s="110"/>
      <c r="F2" s="111"/>
      <c r="G2" s="46"/>
    </row>
    <row r="3" spans="1:13" x14ac:dyDescent="0.25">
      <c r="A3" s="46" t="s">
        <v>33</v>
      </c>
      <c r="B3" s="101" t="s">
        <v>41</v>
      </c>
      <c r="C3" s="101"/>
      <c r="D3" s="46"/>
      <c r="E3" s="46"/>
      <c r="F3" s="46"/>
      <c r="G3" s="46"/>
    </row>
    <row r="4" spans="1:13" s="26" customFormat="1" ht="19.5" thickBot="1" x14ac:dyDescent="0.3">
      <c r="A4" s="28" t="s">
        <v>34</v>
      </c>
      <c r="B4" s="61" t="s">
        <v>20</v>
      </c>
      <c r="C4" s="61" t="s">
        <v>20</v>
      </c>
      <c r="D4" s="61" t="s">
        <v>20</v>
      </c>
      <c r="E4" s="61" t="s">
        <v>20</v>
      </c>
      <c r="F4" s="61"/>
      <c r="G4" s="61"/>
      <c r="H4" s="27"/>
      <c r="I4" s="42"/>
      <c r="L4" s="27"/>
      <c r="M4" s="35"/>
    </row>
    <row r="5" spans="1:13" s="12" customFormat="1" ht="39" thickTop="1" thickBot="1" x14ac:dyDescent="0.3"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55" t="s">
        <v>13</v>
      </c>
      <c r="I5" s="103" t="s">
        <v>42</v>
      </c>
      <c r="J5" s="60" t="s">
        <v>46</v>
      </c>
      <c r="K5" s="66">
        <f>VLOOKUP("x",$I$8:$K$19,3,0)</f>
        <v>36.5</v>
      </c>
    </row>
    <row r="6" spans="1:13" ht="19.5" thickTop="1" x14ac:dyDescent="0.25">
      <c r="A6" s="19" t="s">
        <v>10</v>
      </c>
      <c r="B6" s="62">
        <v>28</v>
      </c>
      <c r="C6" s="13">
        <f>IF(AND(B7&lt;&gt;"",C4="x"),B7,"")</f>
        <v>40</v>
      </c>
      <c r="D6" s="13">
        <f t="shared" ref="D6:G6" si="0">IF(AND(C7&lt;&gt;"",D4="x"),C7,"")</f>
        <v>65</v>
      </c>
      <c r="E6" s="13">
        <f t="shared" si="0"/>
        <v>90</v>
      </c>
      <c r="F6" s="13" t="str">
        <f t="shared" si="0"/>
        <v/>
      </c>
      <c r="G6" s="13" t="str">
        <f t="shared" si="0"/>
        <v/>
      </c>
      <c r="H6" s="56">
        <f>MIN(B6:G6)</f>
        <v>28</v>
      </c>
      <c r="I6" s="104"/>
      <c r="J6" s="52" t="s">
        <v>36</v>
      </c>
      <c r="K6" s="53">
        <f>H13/(H7-H6)</f>
        <v>36.315555555555548</v>
      </c>
      <c r="L6" s="54">
        <f>IF(K5&lt;&gt;"",K5/K6,1)</f>
        <v>1.0050789377065232</v>
      </c>
    </row>
    <row r="7" spans="1:13" ht="19.5" thickBot="1" x14ac:dyDescent="0.3">
      <c r="A7" s="19" t="s">
        <v>9</v>
      </c>
      <c r="B7" s="62">
        <v>40</v>
      </c>
      <c r="C7" s="62">
        <v>65</v>
      </c>
      <c r="D7" s="62">
        <v>90</v>
      </c>
      <c r="E7" s="62">
        <v>118</v>
      </c>
      <c r="F7" s="62"/>
      <c r="G7" s="62"/>
      <c r="H7" s="56">
        <f>MAX(B7:G7)</f>
        <v>118</v>
      </c>
      <c r="I7" s="105"/>
    </row>
    <row r="8" spans="1:13" ht="18.75" customHeight="1" x14ac:dyDescent="0.25">
      <c r="A8" s="19" t="s">
        <v>15</v>
      </c>
      <c r="B8" s="63">
        <v>13.2</v>
      </c>
      <c r="C8" s="63">
        <v>13.2</v>
      </c>
      <c r="D8" s="63">
        <v>13</v>
      </c>
      <c r="E8" s="63">
        <v>13</v>
      </c>
      <c r="F8" s="63"/>
      <c r="G8" s="63"/>
      <c r="H8" s="16">
        <f>H14/H15</f>
        <v>13.067154755370078</v>
      </c>
      <c r="I8" s="92"/>
      <c r="J8" s="112" t="s">
        <v>48</v>
      </c>
      <c r="K8" s="115">
        <v>38.299999999999997</v>
      </c>
      <c r="L8" s="29"/>
    </row>
    <row r="9" spans="1:13" ht="18.75" customHeight="1" x14ac:dyDescent="0.25">
      <c r="A9" s="19" t="s">
        <v>16</v>
      </c>
      <c r="B9" s="62">
        <v>165</v>
      </c>
      <c r="C9" s="62">
        <v>155</v>
      </c>
      <c r="D9" s="62">
        <v>140</v>
      </c>
      <c r="E9" s="62">
        <v>135</v>
      </c>
      <c r="F9" s="62"/>
      <c r="G9" s="62"/>
      <c r="H9" s="64">
        <f>H18/0.16/H15*1000</f>
        <v>144.09816976055637</v>
      </c>
      <c r="I9" s="92"/>
      <c r="J9" s="113"/>
      <c r="K9" s="116"/>
      <c r="L9" s="29"/>
      <c r="M9" s="114" t="s">
        <v>47</v>
      </c>
    </row>
    <row r="10" spans="1:13" ht="18.75" customHeight="1" x14ac:dyDescent="0.25">
      <c r="A10" s="19" t="s">
        <v>17</v>
      </c>
      <c r="B10" s="63">
        <v>4.4000000000000004</v>
      </c>
      <c r="C10" s="63">
        <v>4.2</v>
      </c>
      <c r="D10" s="63">
        <v>4</v>
      </c>
      <c r="E10" s="63">
        <v>4</v>
      </c>
      <c r="F10" s="62"/>
      <c r="G10" s="62"/>
      <c r="H10" s="65">
        <f>H21/H15</f>
        <v>4.0865149031386849</v>
      </c>
      <c r="I10" s="92" t="s">
        <v>20</v>
      </c>
      <c r="J10" s="99" t="s">
        <v>30</v>
      </c>
      <c r="K10" s="95">
        <v>36.5</v>
      </c>
      <c r="L10" s="30"/>
      <c r="M10" s="114"/>
    </row>
    <row r="11" spans="1:13" ht="18.75" customHeight="1" x14ac:dyDescent="0.25">
      <c r="A11" s="19" t="s">
        <v>18</v>
      </c>
      <c r="B11" s="14">
        <v>26</v>
      </c>
      <c r="C11" s="14">
        <v>25</v>
      </c>
      <c r="D11" s="14">
        <v>24</v>
      </c>
      <c r="E11" s="14">
        <v>24</v>
      </c>
      <c r="F11" s="14"/>
      <c r="G11" s="14"/>
      <c r="H11" s="16">
        <f>H16/H15*100</f>
        <v>24.432574515693425</v>
      </c>
      <c r="I11" s="92"/>
      <c r="J11" s="99"/>
      <c r="K11" s="95"/>
      <c r="L11" s="30"/>
      <c r="M11" s="114"/>
    </row>
    <row r="12" spans="1:13" ht="18.75" customHeight="1" x14ac:dyDescent="0.25">
      <c r="H12" s="57"/>
      <c r="I12" s="102"/>
      <c r="J12" s="99" t="s">
        <v>31</v>
      </c>
      <c r="K12" s="117">
        <v>35</v>
      </c>
      <c r="L12" s="31"/>
      <c r="M12" s="114"/>
    </row>
    <row r="13" spans="1:13" ht="18.75" customHeight="1" x14ac:dyDescent="0.25">
      <c r="A13" s="44" t="s">
        <v>14</v>
      </c>
      <c r="B13" s="45">
        <f t="shared" ref="B13:G13" si="1">IF(ISERROR(VLOOKUP(B7,Bereich,2)),"",VLOOKUP(B7,Bereich,2)-VLOOKUP(B6,Bereich,2))</f>
        <v>319.60000000000002</v>
      </c>
      <c r="C13" s="45">
        <f t="shared" si="1"/>
        <v>789</v>
      </c>
      <c r="D13" s="45">
        <f t="shared" si="1"/>
        <v>920</v>
      </c>
      <c r="E13" s="45">
        <f t="shared" si="1"/>
        <v>1239.7999999999997</v>
      </c>
      <c r="F13" s="45" t="str">
        <f t="shared" si="1"/>
        <v/>
      </c>
      <c r="G13" s="45" t="str">
        <f t="shared" si="1"/>
        <v/>
      </c>
      <c r="H13" s="58">
        <f>SUM(B13:G13)</f>
        <v>3268.3999999999996</v>
      </c>
      <c r="I13" s="102"/>
      <c r="J13" s="99"/>
      <c r="K13" s="117"/>
      <c r="L13" s="31"/>
    </row>
    <row r="14" spans="1:13" x14ac:dyDescent="0.25">
      <c r="A14" s="19" t="s">
        <v>38</v>
      </c>
      <c r="B14" s="6">
        <f t="shared" ref="B14:G14" si="2">IF(B6&lt;&gt;"",B13*Faktor,"")</f>
        <v>321.22322849100487</v>
      </c>
      <c r="C14" s="6">
        <f t="shared" si="2"/>
        <v>793.00728185044682</v>
      </c>
      <c r="D14" s="6">
        <f t="shared" si="2"/>
        <v>924.67262269000139</v>
      </c>
      <c r="E14" s="6">
        <f t="shared" si="2"/>
        <v>1246.0968669685471</v>
      </c>
      <c r="F14" s="6" t="str">
        <f t="shared" si="2"/>
        <v/>
      </c>
      <c r="G14" s="6" t="str">
        <f t="shared" si="2"/>
        <v/>
      </c>
      <c r="H14" s="18">
        <f>SUM(B14:G14)</f>
        <v>3285</v>
      </c>
      <c r="I14" s="98"/>
      <c r="J14" s="99" t="s">
        <v>35</v>
      </c>
      <c r="K14" s="95">
        <v>34.6</v>
      </c>
      <c r="L14" s="1"/>
    </row>
    <row r="15" spans="1:13" x14ac:dyDescent="0.25">
      <c r="A15" s="19" t="s">
        <v>0</v>
      </c>
      <c r="B15" s="6">
        <f t="shared" ref="B15:G15" si="3">IF(B6&lt;&gt;"",B14/B8,"")</f>
        <v>24.33509306750037</v>
      </c>
      <c r="C15" s="6">
        <f t="shared" si="3"/>
        <v>60.076309231094456</v>
      </c>
      <c r="D15" s="6">
        <f t="shared" si="3"/>
        <v>71.128663283846265</v>
      </c>
      <c r="E15" s="6">
        <f t="shared" si="3"/>
        <v>95.853605151426706</v>
      </c>
      <c r="F15" s="5" t="str">
        <f t="shared" si="3"/>
        <v/>
      </c>
      <c r="G15" s="5" t="str">
        <f t="shared" si="3"/>
        <v/>
      </c>
      <c r="H15" s="18">
        <f>SUM(B15:G15)</f>
        <v>251.39367073386779</v>
      </c>
      <c r="I15" s="98"/>
      <c r="J15" s="99"/>
      <c r="K15" s="95"/>
    </row>
    <row r="16" spans="1:13" ht="18.75" customHeight="1" x14ac:dyDescent="0.25">
      <c r="A16" s="19" t="s">
        <v>1</v>
      </c>
      <c r="B16" s="5">
        <f t="shared" ref="B16:G16" si="4">IF(B6&lt;&gt;"",B11*B15/100,"")</f>
        <v>6.3271241975500958</v>
      </c>
      <c r="C16" s="5">
        <f t="shared" si="4"/>
        <v>15.019077307773614</v>
      </c>
      <c r="D16" s="5">
        <f t="shared" si="4"/>
        <v>17.070879188123104</v>
      </c>
      <c r="E16" s="5">
        <f t="shared" si="4"/>
        <v>23.004865236342411</v>
      </c>
      <c r="F16" s="5" t="str">
        <f t="shared" si="4"/>
        <v/>
      </c>
      <c r="G16" s="5" t="str">
        <f t="shared" si="4"/>
        <v/>
      </c>
      <c r="H16" s="16">
        <f>SUM(B16:G16)</f>
        <v>61.421945929789224</v>
      </c>
      <c r="I16" s="92"/>
      <c r="J16" s="99" t="s">
        <v>53</v>
      </c>
      <c r="K16" s="95">
        <v>33.4</v>
      </c>
      <c r="M16" s="91" t="s">
        <v>54</v>
      </c>
    </row>
    <row r="17" spans="1:13" ht="19.5" customHeight="1" thickBot="1" x14ac:dyDescent="0.3">
      <c r="A17" s="19" t="s">
        <v>2</v>
      </c>
      <c r="B17" s="10">
        <f t="shared" ref="B17:G17" si="5">IF(B6&lt;&gt;"",B16/(B7-B6),"")</f>
        <v>0.52726034979584135</v>
      </c>
      <c r="C17" s="10">
        <f t="shared" si="5"/>
        <v>0.6007630923109446</v>
      </c>
      <c r="D17" s="10">
        <f t="shared" si="5"/>
        <v>0.68283516752492412</v>
      </c>
      <c r="E17" s="10">
        <f t="shared" si="5"/>
        <v>0.82160232986937187</v>
      </c>
      <c r="F17" s="10" t="str">
        <f t="shared" si="5"/>
        <v/>
      </c>
      <c r="G17" s="10" t="str">
        <f t="shared" si="5"/>
        <v/>
      </c>
      <c r="H17" s="59">
        <f>H16/(H7-H6)</f>
        <v>0.6824660658865469</v>
      </c>
      <c r="I17" s="92"/>
      <c r="J17" s="100"/>
      <c r="K17" s="96"/>
      <c r="M17" s="91"/>
    </row>
    <row r="18" spans="1:13" ht="18.75" customHeight="1" x14ac:dyDescent="0.25">
      <c r="A18" s="19" t="s">
        <v>3</v>
      </c>
      <c r="B18" s="5">
        <f t="shared" ref="B18:G18" si="6">IF(B6&lt;&gt;"",B9*0.16*B15/1000,"")</f>
        <v>0.64244645698200986</v>
      </c>
      <c r="C18" s="5">
        <f t="shared" si="6"/>
        <v>1.4898924689311426</v>
      </c>
      <c r="D18" s="5">
        <f t="shared" si="6"/>
        <v>1.5932820575581566</v>
      </c>
      <c r="E18" s="5">
        <f t="shared" si="6"/>
        <v>2.0704378712708174</v>
      </c>
      <c r="F18" s="1" t="str">
        <f t="shared" si="6"/>
        <v/>
      </c>
      <c r="G18" s="1" t="str">
        <f t="shared" si="6"/>
        <v/>
      </c>
      <c r="H18" s="16">
        <f>SUM(B18:G18)</f>
        <v>5.7960588547421263</v>
      </c>
      <c r="I18" s="92"/>
      <c r="J18" s="93" t="s">
        <v>55</v>
      </c>
      <c r="K18" s="95">
        <v>32.799999999999997</v>
      </c>
      <c r="M18" s="79"/>
    </row>
    <row r="19" spans="1:13" ht="19.5" thickBot="1" x14ac:dyDescent="0.3">
      <c r="A19" s="19" t="s">
        <v>4</v>
      </c>
      <c r="B19" s="10">
        <f t="shared" ref="B19:G19" si="7">IF(B6&lt;&gt;"",B18-(B7-B6)*25.6/1000,"")</f>
        <v>0.33524645698200983</v>
      </c>
      <c r="C19" s="10">
        <f t="shared" si="7"/>
        <v>0.84989246893114256</v>
      </c>
      <c r="D19" s="10">
        <f t="shared" si="7"/>
        <v>0.95328205755815654</v>
      </c>
      <c r="E19" s="10">
        <f t="shared" si="7"/>
        <v>1.3536378712708173</v>
      </c>
      <c r="F19" s="1" t="str">
        <f t="shared" si="7"/>
        <v/>
      </c>
      <c r="G19" s="1" t="str">
        <f t="shared" si="7"/>
        <v/>
      </c>
      <c r="H19" s="16">
        <f>SUM(B19:G19)</f>
        <v>3.4920588547421261</v>
      </c>
      <c r="I19" s="92"/>
      <c r="J19" s="94"/>
      <c r="K19" s="96"/>
    </row>
    <row r="20" spans="1:13" s="22" customFormat="1" hidden="1" x14ac:dyDescent="0.25">
      <c r="A20" s="20" t="s">
        <v>27</v>
      </c>
      <c r="B20" s="21"/>
      <c r="C20" s="21"/>
      <c r="D20" s="21"/>
      <c r="E20" s="21"/>
      <c r="H20" s="23">
        <f>H19*K20</f>
        <v>9.5333206734460045</v>
      </c>
      <c r="I20" s="48"/>
      <c r="J20" s="22" t="s">
        <v>29</v>
      </c>
      <c r="K20" s="25">
        <v>2.73</v>
      </c>
      <c r="L20" s="24"/>
      <c r="M20" s="36"/>
    </row>
    <row r="21" spans="1:13" hidden="1" x14ac:dyDescent="0.25">
      <c r="A21" s="19" t="s">
        <v>5</v>
      </c>
      <c r="B21" s="11">
        <f t="shared" ref="B21:G21" si="8">IF(B6&lt;&gt;"",B10*B15,"")</f>
        <v>107.07440949700164</v>
      </c>
      <c r="C21" s="11">
        <f t="shared" si="8"/>
        <v>252.32049877059671</v>
      </c>
      <c r="D21" s="11">
        <f t="shared" si="8"/>
        <v>284.51465313538506</v>
      </c>
      <c r="E21" s="11">
        <f t="shared" si="8"/>
        <v>383.41442060570682</v>
      </c>
      <c r="F21" s="11" t="str">
        <f t="shared" si="8"/>
        <v/>
      </c>
      <c r="G21" s="11" t="str">
        <f t="shared" si="8"/>
        <v/>
      </c>
      <c r="H21" s="17">
        <f t="shared" ref="H21:H23" si="9">SUM(B21:G21)</f>
        <v>1027.3239820086901</v>
      </c>
      <c r="I21" s="49"/>
    </row>
    <row r="22" spans="1:13" hidden="1" x14ac:dyDescent="0.25">
      <c r="A22" s="19" t="s">
        <v>6</v>
      </c>
      <c r="B22" s="11">
        <f t="shared" ref="B22:G22" si="10">IF(B6&lt;&gt;"",B21-(B7-B6)*5.1,"")</f>
        <v>45.874409497001643</v>
      </c>
      <c r="C22" s="11">
        <f t="shared" si="10"/>
        <v>124.82049877059673</v>
      </c>
      <c r="D22" s="11">
        <f t="shared" si="10"/>
        <v>157.01465313538506</v>
      </c>
      <c r="E22" s="11">
        <f t="shared" si="10"/>
        <v>240.61442060570684</v>
      </c>
      <c r="F22" s="11" t="str">
        <f t="shared" si="10"/>
        <v/>
      </c>
      <c r="G22" s="11" t="str">
        <f t="shared" si="10"/>
        <v/>
      </c>
      <c r="H22" s="17">
        <f t="shared" si="9"/>
        <v>568.32398200869034</v>
      </c>
      <c r="I22" s="49"/>
    </row>
    <row r="23" spans="1:13" ht="20.25" hidden="1" x14ac:dyDescent="0.25">
      <c r="A23" s="19" t="s">
        <v>19</v>
      </c>
      <c r="B23" s="10">
        <f t="shared" ref="B23:G23" si="11">IF(B6&lt;&gt;"",B22*2.291/1000,"")</f>
        <v>0.10509827215763076</v>
      </c>
      <c r="C23" s="10">
        <f t="shared" si="11"/>
        <v>0.28596376268343709</v>
      </c>
      <c r="D23" s="10">
        <f t="shared" si="11"/>
        <v>0.35972057033316718</v>
      </c>
      <c r="E23" s="10">
        <f t="shared" si="11"/>
        <v>0.55124763760767437</v>
      </c>
      <c r="F23" s="1" t="str">
        <f t="shared" si="11"/>
        <v/>
      </c>
      <c r="G23" s="1" t="str">
        <f t="shared" si="11"/>
        <v/>
      </c>
      <c r="H23" s="16">
        <f t="shared" si="9"/>
        <v>1.3020302427819095</v>
      </c>
      <c r="I23" s="47"/>
    </row>
    <row r="24" spans="1:13" s="22" customFormat="1" ht="20.25" hidden="1" x14ac:dyDescent="0.25">
      <c r="A24" s="20" t="s">
        <v>28</v>
      </c>
      <c r="B24" s="21"/>
      <c r="C24" s="21"/>
      <c r="D24" s="21"/>
      <c r="E24" s="21"/>
      <c r="H24" s="23">
        <f>H23*K20</f>
        <v>3.5545425627946128</v>
      </c>
      <c r="I24" s="48"/>
      <c r="L24" s="24"/>
      <c r="M24" s="36"/>
    </row>
    <row r="25" spans="1:13" s="3" customFormat="1" hidden="1" x14ac:dyDescent="0.25">
      <c r="H25" s="7"/>
      <c r="I25" s="7"/>
      <c r="L25" s="4"/>
      <c r="M25" s="34"/>
    </row>
    <row r="26" spans="1:13" hidden="1" x14ac:dyDescent="0.25">
      <c r="A26" s="19" t="s">
        <v>7</v>
      </c>
      <c r="B26" s="6">
        <f t="shared" ref="B26:G26" si="12">IF(B6&lt;&gt;"",B19/(B7-B6)*1000,"")</f>
        <v>27.937204748500822</v>
      </c>
      <c r="C26" s="6">
        <f t="shared" si="12"/>
        <v>33.995698757245698</v>
      </c>
      <c r="D26" s="6">
        <f t="shared" si="12"/>
        <v>38.131282302326262</v>
      </c>
      <c r="E26" s="6">
        <f t="shared" si="12"/>
        <v>48.344209688243474</v>
      </c>
      <c r="F26" s="10" t="str">
        <f t="shared" si="12"/>
        <v/>
      </c>
      <c r="G26" s="10" t="str">
        <f t="shared" si="12"/>
        <v/>
      </c>
      <c r="H26" s="18">
        <f>H19/(H7-H6)*1000</f>
        <v>38.800653941579178</v>
      </c>
      <c r="I26" s="50"/>
    </row>
    <row r="27" spans="1:13" hidden="1" x14ac:dyDescent="0.25">
      <c r="A27" s="19" t="s">
        <v>8</v>
      </c>
      <c r="B27" s="6">
        <f t="shared" ref="B27:G27" si="13">IF(B6&lt;&gt;"",B22/(B7-B6),"")</f>
        <v>3.8228674580834703</v>
      </c>
      <c r="C27" s="6">
        <f t="shared" si="13"/>
        <v>4.9928199508238693</v>
      </c>
      <c r="D27" s="6">
        <f t="shared" si="13"/>
        <v>6.2805861254154021</v>
      </c>
      <c r="E27" s="6">
        <f t="shared" si="13"/>
        <v>8.59337216448953</v>
      </c>
      <c r="F27" s="6" t="str">
        <f t="shared" si="13"/>
        <v/>
      </c>
      <c r="G27" s="6" t="str">
        <f t="shared" si="13"/>
        <v/>
      </c>
      <c r="H27" s="16">
        <f>H22/(H7-H6)</f>
        <v>6.31471091120767</v>
      </c>
      <c r="I27" s="47"/>
    </row>
    <row r="28" spans="1:13" hidden="1" x14ac:dyDescent="0.25"/>
    <row r="29" spans="1:13" hidden="1" x14ac:dyDescent="0.25"/>
    <row r="30" spans="1:13" x14ac:dyDescent="0.25">
      <c r="I30" s="78"/>
      <c r="J30" s="26"/>
      <c r="K30" s="26"/>
    </row>
    <row r="31" spans="1:13" s="26" customFormat="1" x14ac:dyDescent="0.25">
      <c r="A31" s="90" t="s">
        <v>61</v>
      </c>
      <c r="B31" s="90"/>
      <c r="C31" s="90"/>
      <c r="D31" s="90"/>
      <c r="E31" s="90"/>
      <c r="F31" s="90"/>
      <c r="G31" s="90"/>
      <c r="H31" s="90"/>
      <c r="I31" s="78"/>
      <c r="L31" s="27"/>
      <c r="M31" s="35"/>
    </row>
    <row r="32" spans="1:13" s="32" customFormat="1" x14ac:dyDescent="0.25">
      <c r="A32" s="51" t="s">
        <v>43</v>
      </c>
      <c r="B32" s="97" t="s">
        <v>58</v>
      </c>
      <c r="C32" s="97"/>
      <c r="D32" s="97"/>
      <c r="E32" s="97"/>
      <c r="F32" s="97"/>
      <c r="G32" s="97"/>
      <c r="H32" s="97"/>
      <c r="I32" s="43"/>
      <c r="L32" s="33"/>
      <c r="M32" s="34"/>
    </row>
    <row r="33" spans="1:13" s="26" customFormat="1" x14ac:dyDescent="0.25">
      <c r="A33" s="51" t="s">
        <v>45</v>
      </c>
      <c r="B33" s="89" t="s">
        <v>56</v>
      </c>
      <c r="C33" s="89"/>
      <c r="D33" s="89"/>
      <c r="E33" s="89"/>
      <c r="F33" s="89"/>
      <c r="G33" s="89"/>
      <c r="H33" s="89"/>
      <c r="I33" s="41"/>
      <c r="L33" s="27"/>
      <c r="M33" s="35"/>
    </row>
    <row r="34" spans="1:13" s="26" customFormat="1" x14ac:dyDescent="0.25">
      <c r="A34" s="51" t="s">
        <v>44</v>
      </c>
      <c r="B34" s="89" t="s">
        <v>57</v>
      </c>
      <c r="C34" s="89"/>
      <c r="D34" s="89"/>
      <c r="E34" s="89"/>
      <c r="F34" s="89"/>
      <c r="G34" s="89"/>
      <c r="H34" s="89"/>
      <c r="I34" s="41"/>
      <c r="L34" s="27"/>
      <c r="M34" s="35"/>
    </row>
    <row r="35" spans="1:13" s="13" customFormat="1" x14ac:dyDescent="0.25">
      <c r="H35" s="69"/>
      <c r="I35" s="69"/>
      <c r="L35" s="70"/>
      <c r="M35" s="71"/>
    </row>
    <row r="36" spans="1:13" s="13" customFormat="1" x14ac:dyDescent="0.25">
      <c r="H36" s="69"/>
      <c r="I36" s="69"/>
      <c r="L36" s="70"/>
      <c r="M36" s="71"/>
    </row>
    <row r="37" spans="1:13" x14ac:dyDescent="0.25">
      <c r="A37" s="68" t="s">
        <v>49</v>
      </c>
      <c r="B37" s="80"/>
      <c r="C37" s="81"/>
      <c r="D37" s="81"/>
      <c r="E37" s="81"/>
      <c r="F37" s="81"/>
      <c r="G37" s="81"/>
      <c r="H37" s="82"/>
      <c r="I37" s="67"/>
    </row>
    <row r="38" spans="1:13" x14ac:dyDescent="0.25">
      <c r="A38" s="13"/>
      <c r="B38" s="83"/>
      <c r="C38" s="84"/>
      <c r="D38" s="84"/>
      <c r="E38" s="84"/>
      <c r="F38" s="84"/>
      <c r="G38" s="84"/>
      <c r="H38" s="85"/>
      <c r="I38" s="67"/>
    </row>
    <row r="39" spans="1:13" x14ac:dyDescent="0.25">
      <c r="A39" s="13"/>
      <c r="B39" s="83"/>
      <c r="C39" s="84"/>
      <c r="D39" s="84"/>
      <c r="E39" s="84"/>
      <c r="F39" s="84"/>
      <c r="G39" s="84"/>
      <c r="H39" s="85"/>
      <c r="I39" s="67"/>
    </row>
    <row r="40" spans="1:13" x14ac:dyDescent="0.25">
      <c r="A40" s="13"/>
      <c r="B40" s="86"/>
      <c r="C40" s="87"/>
      <c r="D40" s="87"/>
      <c r="E40" s="87"/>
      <c r="F40" s="87"/>
      <c r="G40" s="87"/>
      <c r="H40" s="88"/>
      <c r="I40" s="67"/>
    </row>
    <row r="41" spans="1:13" x14ac:dyDescent="0.25">
      <c r="A41" s="13"/>
      <c r="H41" s="67"/>
      <c r="I41" s="67"/>
    </row>
    <row r="42" spans="1:13" x14ac:dyDescent="0.25">
      <c r="H42" s="67"/>
      <c r="I42" s="67"/>
    </row>
    <row r="43" spans="1:13" x14ac:dyDescent="0.25">
      <c r="H43" s="67"/>
      <c r="I43" s="67"/>
    </row>
    <row r="44" spans="1:13" x14ac:dyDescent="0.25">
      <c r="H44" s="67"/>
      <c r="I44" s="67"/>
    </row>
    <row r="45" spans="1:13" x14ac:dyDescent="0.25">
      <c r="H45" s="67"/>
      <c r="I45" s="67"/>
    </row>
    <row r="46" spans="1:13" x14ac:dyDescent="0.25">
      <c r="H46" s="67"/>
      <c r="I46" s="67"/>
    </row>
    <row r="47" spans="1:13" x14ac:dyDescent="0.25">
      <c r="H47" s="67"/>
      <c r="I47" s="67"/>
    </row>
    <row r="48" spans="1:13" x14ac:dyDescent="0.25">
      <c r="H48" s="67"/>
      <c r="I48" s="67"/>
    </row>
    <row r="49" spans="8:9" x14ac:dyDescent="0.25">
      <c r="H49" s="67"/>
      <c r="I49" s="67"/>
    </row>
    <row r="50" spans="8:9" x14ac:dyDescent="0.25">
      <c r="H50" s="67"/>
      <c r="I50" s="67"/>
    </row>
    <row r="51" spans="8:9" x14ac:dyDescent="0.25">
      <c r="H51" s="67"/>
      <c r="I51" s="67"/>
    </row>
    <row r="52" spans="8:9" x14ac:dyDescent="0.25">
      <c r="H52" s="67"/>
      <c r="I52" s="67"/>
    </row>
    <row r="53" spans="8:9" x14ac:dyDescent="0.25">
      <c r="H53" s="67"/>
      <c r="I53" s="67"/>
    </row>
    <row r="54" spans="8:9" x14ac:dyDescent="0.25">
      <c r="H54" s="67"/>
      <c r="I54" s="67"/>
    </row>
  </sheetData>
  <sheetProtection password="CC42" sheet="1" objects="1" scenarios="1" formatColumns="0"/>
  <mergeCells count="30">
    <mergeCell ref="K14:K15"/>
    <mergeCell ref="K16:K17"/>
    <mergeCell ref="J8:J9"/>
    <mergeCell ref="J10:J11"/>
    <mergeCell ref="M9:M12"/>
    <mergeCell ref="K8:K9"/>
    <mergeCell ref="K10:K11"/>
    <mergeCell ref="K12:K13"/>
    <mergeCell ref="I14:I15"/>
    <mergeCell ref="J12:J13"/>
    <mergeCell ref="J14:J15"/>
    <mergeCell ref="J16:J17"/>
    <mergeCell ref="B1:C1"/>
    <mergeCell ref="B2:C2"/>
    <mergeCell ref="B3:C3"/>
    <mergeCell ref="I12:I13"/>
    <mergeCell ref="I5:I7"/>
    <mergeCell ref="D1:F2"/>
    <mergeCell ref="I8:I9"/>
    <mergeCell ref="I10:I11"/>
    <mergeCell ref="B37:H40"/>
    <mergeCell ref="B34:H34"/>
    <mergeCell ref="A31:H31"/>
    <mergeCell ref="M16:M17"/>
    <mergeCell ref="I18:I19"/>
    <mergeCell ref="J18:J19"/>
    <mergeCell ref="K18:K19"/>
    <mergeCell ref="B32:H32"/>
    <mergeCell ref="I16:I17"/>
    <mergeCell ref="B33:H33"/>
  </mergeCells>
  <conditionalFormatting sqref="B13:G24 B26:G27 B6:G11">
    <cfRule type="expression" dxfId="1" priority="1">
      <formula>B$7&lt;&gt;""</formula>
    </cfRule>
  </conditionalFormatting>
  <dataValidations disablePrompts="1" xWindow="769" yWindow="302" count="3">
    <dataValidation type="custom" allowBlank="1" showInputMessage="1" showErrorMessage="1" errorTitle="Achtung:" error="Nur Zahlen zwischen dem Eintrag in Zeile 2 und 125!" sqref="B7:G7">
      <formula1>AND(B7&gt;B6,B7&lt;=125)</formula1>
    </dataValidation>
    <dataValidation type="whole" allowBlank="1" showInputMessage="1" showErrorMessage="1" errorTitle="Achtung:" error="Nur ganze Zahlen zwischen 5 und 125!" sqref="B6">
      <formula1>5</formula1>
      <formula2>125</formula2>
    </dataValidation>
    <dataValidation type="list" allowBlank="1" showInputMessage="1" showErrorMessage="1" errorTitle="Achtung:" error="mit x kennzeichnen, wenn Futter Daten enthalten soll." promptTitle="Hinweis:" prompt="Mit x kennzeichnen, wenn diese Futtergruppe berücksichtigt werden soll - ansonsten x löschen!" sqref="B4:G4">
      <formula1>"x"</formula1>
    </dataValidation>
  </dataValidations>
  <pageMargins left="0.70866141732283472" right="0.70866141732283472" top="0.78740157480314965" bottom="0.59055118110236227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40"/>
  <sheetViews>
    <sheetView zoomScale="110" zoomScaleNormal="110" workbookViewId="0">
      <selection activeCell="J12" sqref="J12:J13"/>
    </sheetView>
  </sheetViews>
  <sheetFormatPr baseColWidth="10" defaultRowHeight="18.75" x14ac:dyDescent="0.25"/>
  <cols>
    <col min="1" max="1" width="42" style="1" bestFit="1" customWidth="1"/>
    <col min="2" max="7" width="10" style="1" bestFit="1" customWidth="1"/>
    <col min="8" max="8" width="9.85546875" style="74" bestFit="1" customWidth="1"/>
    <col min="9" max="9" width="5.140625" style="74" customWidth="1"/>
    <col min="10" max="10" width="24.7109375" style="1" customWidth="1"/>
    <col min="11" max="11" width="7.7109375" style="1" bestFit="1" customWidth="1"/>
    <col min="12" max="12" width="6.85546875" style="2" customWidth="1"/>
    <col min="13" max="13" width="27.7109375" style="34" customWidth="1"/>
    <col min="14" max="16384" width="11.42578125" style="1"/>
  </cols>
  <sheetData>
    <row r="1" spans="1:13" ht="18.75" customHeight="1" x14ac:dyDescent="0.25">
      <c r="A1" s="46" t="s">
        <v>37</v>
      </c>
      <c r="B1" s="101" t="s">
        <v>39</v>
      </c>
      <c r="C1" s="101"/>
      <c r="D1" s="106" t="str">
        <f>VLOOKUP("x",$I$8:$K$17,2,0)</f>
        <v>450g tägl. Zunahme / 7 Durchgänge / 140kg Zuwachs</v>
      </c>
      <c r="E1" s="107"/>
      <c r="F1" s="108"/>
      <c r="G1" s="46"/>
    </row>
    <row r="2" spans="1:13" ht="19.5" thickBot="1" x14ac:dyDescent="0.3">
      <c r="A2" s="46" t="s">
        <v>32</v>
      </c>
      <c r="B2" s="101" t="s">
        <v>40</v>
      </c>
      <c r="C2" s="101"/>
      <c r="D2" s="109"/>
      <c r="E2" s="110"/>
      <c r="F2" s="111"/>
      <c r="G2" s="46"/>
    </row>
    <row r="3" spans="1:13" x14ac:dyDescent="0.25">
      <c r="A3" s="46" t="s">
        <v>33</v>
      </c>
      <c r="B3" s="101" t="s">
        <v>41</v>
      </c>
      <c r="C3" s="101"/>
      <c r="D3" s="46"/>
      <c r="E3" s="46"/>
      <c r="F3" s="46"/>
      <c r="G3" s="46"/>
    </row>
    <row r="4" spans="1:13" s="26" customFormat="1" ht="19.5" thickBot="1" x14ac:dyDescent="0.3">
      <c r="A4" s="28" t="s">
        <v>34</v>
      </c>
      <c r="B4" s="61" t="s">
        <v>20</v>
      </c>
      <c r="C4" s="61" t="s">
        <v>20</v>
      </c>
      <c r="D4" s="61"/>
      <c r="E4" s="61"/>
      <c r="F4" s="61"/>
      <c r="G4" s="61"/>
      <c r="H4" s="74"/>
      <c r="I4" s="74"/>
      <c r="L4" s="74"/>
      <c r="M4" s="35"/>
    </row>
    <row r="5" spans="1:13" s="12" customFormat="1" ht="39" thickTop="1" thickBot="1" x14ac:dyDescent="0.3"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55" t="s">
        <v>13</v>
      </c>
      <c r="I5" s="103" t="s">
        <v>42</v>
      </c>
      <c r="J5" s="60" t="s">
        <v>46</v>
      </c>
      <c r="K5" s="66">
        <f>VLOOKUP("x",$I$8:$K$17,3,0)</f>
        <v>23.8</v>
      </c>
    </row>
    <row r="6" spans="1:13" ht="19.5" thickTop="1" x14ac:dyDescent="0.25">
      <c r="A6" s="19" t="s">
        <v>10</v>
      </c>
      <c r="B6" s="62">
        <v>8</v>
      </c>
      <c r="C6" s="13">
        <f t="shared" ref="C6:D6" si="0">IF(AND(B7&lt;&gt;"",C4="x"),B7,"")</f>
        <v>15</v>
      </c>
      <c r="D6" s="13" t="str">
        <f t="shared" si="0"/>
        <v/>
      </c>
      <c r="E6" s="13" t="str">
        <f t="shared" ref="E6" si="1">IF(AND(D7&lt;&gt;"",E4="x"),D7,"")</f>
        <v/>
      </c>
      <c r="F6" s="13" t="str">
        <f t="shared" ref="F6:G6" si="2">IF(AND(E7&lt;&gt;"",F4="x"),E7,"")</f>
        <v/>
      </c>
      <c r="G6" s="13" t="str">
        <f t="shared" si="2"/>
        <v/>
      </c>
      <c r="H6" s="56">
        <f>MIN(B6:G6)</f>
        <v>8</v>
      </c>
      <c r="I6" s="104"/>
      <c r="J6" s="52" t="s">
        <v>36</v>
      </c>
      <c r="K6" s="53">
        <f>H13/(H7-H6)</f>
        <v>22.65</v>
      </c>
      <c r="L6" s="54">
        <f>IF(K5&lt;&gt;"",K5/K6,1)</f>
        <v>1.0507726269315674</v>
      </c>
    </row>
    <row r="7" spans="1:13" ht="19.5" thickBot="1" x14ac:dyDescent="0.3">
      <c r="A7" s="19" t="s">
        <v>9</v>
      </c>
      <c r="B7" s="62">
        <v>15</v>
      </c>
      <c r="C7" s="62">
        <v>28</v>
      </c>
      <c r="D7" s="62"/>
      <c r="E7" s="62"/>
      <c r="F7" s="62"/>
      <c r="G7" s="62"/>
      <c r="H7" s="56">
        <f>MAX(B7:G7)</f>
        <v>28</v>
      </c>
      <c r="I7" s="105"/>
    </row>
    <row r="8" spans="1:13" ht="18.75" customHeight="1" x14ac:dyDescent="0.25">
      <c r="A8" s="19" t="s">
        <v>15</v>
      </c>
      <c r="B8" s="63">
        <v>13.8</v>
      </c>
      <c r="C8" s="63">
        <v>13.4</v>
      </c>
      <c r="D8" s="63"/>
      <c r="E8" s="63"/>
      <c r="F8" s="63"/>
      <c r="G8" s="63"/>
      <c r="H8" s="16">
        <f>H14/H15</f>
        <v>13.526886234893652</v>
      </c>
      <c r="I8" s="92" t="s">
        <v>20</v>
      </c>
      <c r="J8" s="112" t="s">
        <v>50</v>
      </c>
      <c r="K8" s="115">
        <v>23.8</v>
      </c>
      <c r="L8" s="29"/>
      <c r="M8" s="114" t="s">
        <v>47</v>
      </c>
    </row>
    <row r="9" spans="1:13" ht="18.75" customHeight="1" x14ac:dyDescent="0.25">
      <c r="A9" s="19" t="s">
        <v>16</v>
      </c>
      <c r="B9" s="62">
        <v>175</v>
      </c>
      <c r="C9" s="62">
        <v>170</v>
      </c>
      <c r="D9" s="62"/>
      <c r="E9" s="62"/>
      <c r="F9" s="62"/>
      <c r="G9" s="62"/>
      <c r="H9" s="64">
        <f>H18/0.16/H15*1000</f>
        <v>171.58607793617065</v>
      </c>
      <c r="I9" s="92"/>
      <c r="J9" s="113"/>
      <c r="K9" s="116"/>
      <c r="L9" s="29"/>
      <c r="M9" s="114"/>
    </row>
    <row r="10" spans="1:13" ht="18.75" customHeight="1" x14ac:dyDescent="0.25">
      <c r="A10" s="19" t="s">
        <v>17</v>
      </c>
      <c r="B10" s="63">
        <v>5.0999999999999996</v>
      </c>
      <c r="C10" s="63">
        <v>4.8</v>
      </c>
      <c r="D10" s="63"/>
      <c r="E10" s="63"/>
      <c r="F10" s="62"/>
      <c r="G10" s="62"/>
      <c r="H10" s="65">
        <f>H21/H15</f>
        <v>4.8951646761702374</v>
      </c>
      <c r="I10" s="92"/>
      <c r="J10" s="99" t="s">
        <v>51</v>
      </c>
      <c r="K10" s="95">
        <v>23.1</v>
      </c>
      <c r="L10" s="30"/>
      <c r="M10" s="114"/>
    </row>
    <row r="11" spans="1:13" ht="18.75" customHeight="1" x14ac:dyDescent="0.25">
      <c r="A11" s="19" t="s">
        <v>18</v>
      </c>
      <c r="B11" s="14">
        <v>40</v>
      </c>
      <c r="C11" s="14">
        <v>40</v>
      </c>
      <c r="D11" s="14"/>
      <c r="E11" s="14"/>
      <c r="F11" s="14"/>
      <c r="G11" s="14"/>
      <c r="H11" s="16">
        <f>H16/H15*100</f>
        <v>40.000000000000007</v>
      </c>
      <c r="I11" s="92"/>
      <c r="J11" s="99"/>
      <c r="K11" s="95"/>
      <c r="L11" s="30"/>
      <c r="M11" s="114"/>
    </row>
    <row r="12" spans="1:13" ht="18.75" customHeight="1" x14ac:dyDescent="0.25">
      <c r="H12" s="57"/>
      <c r="I12" s="102"/>
      <c r="J12" s="118"/>
      <c r="K12" s="120"/>
      <c r="L12" s="31"/>
      <c r="M12" s="77"/>
    </row>
    <row r="13" spans="1:13" ht="18.75" customHeight="1" x14ac:dyDescent="0.25">
      <c r="A13" s="44" t="s">
        <v>14</v>
      </c>
      <c r="B13" s="45">
        <f t="shared" ref="B13:G13" si="3">IF(ISERROR(VLOOKUP(B7,Bereich,2)),"",VLOOKUP(B7,Bereich,2)-VLOOKUP(B6,Bereich,2))</f>
        <v>146.6</v>
      </c>
      <c r="C13" s="45">
        <f t="shared" si="3"/>
        <v>306.39999999999998</v>
      </c>
      <c r="D13" s="45" t="str">
        <f t="shared" si="3"/>
        <v/>
      </c>
      <c r="E13" s="45" t="str">
        <f t="shared" si="3"/>
        <v/>
      </c>
      <c r="F13" s="45" t="str">
        <f t="shared" si="3"/>
        <v/>
      </c>
      <c r="G13" s="45" t="str">
        <f t="shared" si="3"/>
        <v/>
      </c>
      <c r="H13" s="58">
        <f>SUM(B13:G13)</f>
        <v>453</v>
      </c>
      <c r="I13" s="102"/>
      <c r="J13" s="119"/>
      <c r="K13" s="121"/>
      <c r="L13" s="31"/>
    </row>
    <row r="14" spans="1:13" x14ac:dyDescent="0.25">
      <c r="A14" s="19" t="s">
        <v>38</v>
      </c>
      <c r="B14" s="6">
        <f t="shared" ref="B14:G14" si="4">IF(B6&lt;&gt;"",B13*Faktor,"")</f>
        <v>154.04326710816778</v>
      </c>
      <c r="C14" s="6">
        <f t="shared" si="4"/>
        <v>321.95673289183219</v>
      </c>
      <c r="D14" s="6" t="str">
        <f t="shared" si="4"/>
        <v/>
      </c>
      <c r="E14" s="6" t="str">
        <f t="shared" si="4"/>
        <v/>
      </c>
      <c r="F14" s="6" t="str">
        <f t="shared" si="4"/>
        <v/>
      </c>
      <c r="G14" s="6" t="str">
        <f t="shared" si="4"/>
        <v/>
      </c>
      <c r="H14" s="18">
        <f>SUM(B14:G14)</f>
        <v>476</v>
      </c>
      <c r="I14" s="98"/>
      <c r="J14" s="122"/>
      <c r="K14" s="123"/>
      <c r="L14" s="75"/>
      <c r="M14" s="76"/>
    </row>
    <row r="15" spans="1:13" x14ac:dyDescent="0.25">
      <c r="A15" s="19" t="s">
        <v>0</v>
      </c>
      <c r="B15" s="6">
        <f t="shared" ref="B15:G15" si="5">IF(B6&lt;&gt;"",B14/B8,"")</f>
        <v>11.16255558754839</v>
      </c>
      <c r="C15" s="6">
        <f t="shared" si="5"/>
        <v>24.026621857599416</v>
      </c>
      <c r="D15" s="6" t="str">
        <f t="shared" si="5"/>
        <v/>
      </c>
      <c r="E15" s="6" t="str">
        <f t="shared" si="5"/>
        <v/>
      </c>
      <c r="F15" s="5" t="str">
        <f t="shared" si="5"/>
        <v/>
      </c>
      <c r="G15" s="5" t="str">
        <f t="shared" si="5"/>
        <v/>
      </c>
      <c r="H15" s="18">
        <f>SUM(B15:G15)</f>
        <v>35.189177445147806</v>
      </c>
      <c r="I15" s="98"/>
      <c r="J15" s="122"/>
      <c r="K15" s="123"/>
      <c r="L15" s="29"/>
      <c r="M15" s="124"/>
    </row>
    <row r="16" spans="1:13" ht="18.75" customHeight="1" x14ac:dyDescent="0.25">
      <c r="A16" s="19" t="s">
        <v>1</v>
      </c>
      <c r="B16" s="5">
        <f t="shared" ref="B16:G16" si="6">IF(B6&lt;&gt;"",B11*B15/100,"")</f>
        <v>4.4650222350193562</v>
      </c>
      <c r="C16" s="5">
        <f t="shared" si="6"/>
        <v>9.6106487430397678</v>
      </c>
      <c r="D16" s="5" t="str">
        <f t="shared" si="6"/>
        <v/>
      </c>
      <c r="E16" s="5" t="str">
        <f t="shared" si="6"/>
        <v/>
      </c>
      <c r="F16" s="5" t="str">
        <f t="shared" si="6"/>
        <v/>
      </c>
      <c r="G16" s="5" t="str">
        <f t="shared" si="6"/>
        <v/>
      </c>
      <c r="H16" s="16">
        <f>SUM(B16:G16)</f>
        <v>14.075670978059124</v>
      </c>
      <c r="I16" s="92"/>
      <c r="J16" s="122"/>
      <c r="K16" s="123"/>
      <c r="L16" s="29"/>
      <c r="M16" s="124"/>
    </row>
    <row r="17" spans="1:13" x14ac:dyDescent="0.25">
      <c r="A17" s="19" t="s">
        <v>2</v>
      </c>
      <c r="B17" s="10">
        <f t="shared" ref="B17:G17" si="7">IF(B6&lt;&gt;"",B16/(B7-B6),"")</f>
        <v>0.63786031928847942</v>
      </c>
      <c r="C17" s="10">
        <f t="shared" si="7"/>
        <v>0.73928067254152063</v>
      </c>
      <c r="D17" s="10" t="str">
        <f t="shared" si="7"/>
        <v/>
      </c>
      <c r="E17" s="10" t="str">
        <f t="shared" si="7"/>
        <v/>
      </c>
      <c r="F17" s="10" t="str">
        <f t="shared" si="7"/>
        <v/>
      </c>
      <c r="G17" s="10" t="str">
        <f t="shared" si="7"/>
        <v/>
      </c>
      <c r="H17" s="59">
        <f>H16/(H7-H6)</f>
        <v>0.70378354890295625</v>
      </c>
      <c r="I17" s="92"/>
      <c r="J17" s="122"/>
      <c r="K17" s="123"/>
      <c r="L17" s="29"/>
      <c r="M17" s="76"/>
    </row>
    <row r="18" spans="1:13" hidden="1" x14ac:dyDescent="0.25">
      <c r="A18" s="19" t="s">
        <v>3</v>
      </c>
      <c r="B18" s="5">
        <f t="shared" ref="B18:G18" si="8">IF(B6&lt;&gt;"",B9*0.16*B15/1000,"")</f>
        <v>0.31255155645135496</v>
      </c>
      <c r="C18" s="5">
        <f t="shared" si="8"/>
        <v>0.65352411452670411</v>
      </c>
      <c r="D18" s="5" t="str">
        <f t="shared" si="8"/>
        <v/>
      </c>
      <c r="E18" s="5" t="str">
        <f t="shared" si="8"/>
        <v/>
      </c>
      <c r="F18" s="1" t="str">
        <f t="shared" si="8"/>
        <v/>
      </c>
      <c r="G18" s="1" t="str">
        <f t="shared" si="8"/>
        <v/>
      </c>
      <c r="H18" s="16">
        <f>SUM(B18:G18)</f>
        <v>0.96607567097805913</v>
      </c>
      <c r="I18" s="47"/>
    </row>
    <row r="19" spans="1:13" hidden="1" x14ac:dyDescent="0.25">
      <c r="A19" s="19" t="s">
        <v>4</v>
      </c>
      <c r="B19" s="10">
        <f t="shared" ref="B19:G19" si="9">IF(B6&lt;&gt;"",B18-(B7-B6)*25.6/1000,"")</f>
        <v>0.13335155645135494</v>
      </c>
      <c r="C19" s="10">
        <f t="shared" si="9"/>
        <v>0.32072411452670413</v>
      </c>
      <c r="D19" s="10" t="str">
        <f t="shared" si="9"/>
        <v/>
      </c>
      <c r="E19" s="10" t="str">
        <f t="shared" si="9"/>
        <v/>
      </c>
      <c r="F19" s="1" t="str">
        <f t="shared" si="9"/>
        <v/>
      </c>
      <c r="G19" s="1" t="str">
        <f t="shared" si="9"/>
        <v/>
      </c>
      <c r="H19" s="16">
        <f>SUM(B19:G19)</f>
        <v>0.45407567097805906</v>
      </c>
      <c r="I19" s="47"/>
    </row>
    <row r="20" spans="1:13" s="22" customFormat="1" hidden="1" x14ac:dyDescent="0.25">
      <c r="A20" s="20" t="s">
        <v>27</v>
      </c>
      <c r="B20" s="21"/>
      <c r="C20" s="21"/>
      <c r="D20" s="21"/>
      <c r="E20" s="21"/>
      <c r="H20" s="23">
        <f>H19*K20</f>
        <v>1.2396265817701013</v>
      </c>
      <c r="I20" s="48"/>
      <c r="J20" s="22" t="s">
        <v>29</v>
      </c>
      <c r="K20" s="25">
        <v>2.73</v>
      </c>
      <c r="L20" s="24"/>
      <c r="M20" s="36"/>
    </row>
    <row r="21" spans="1:13" hidden="1" x14ac:dyDescent="0.25">
      <c r="A21" s="19" t="s">
        <v>5</v>
      </c>
      <c r="B21" s="11">
        <f t="shared" ref="B21:G21" si="10">IF(B6&lt;&gt;"",B10*B15,"")</f>
        <v>56.929033496496785</v>
      </c>
      <c r="C21" s="11">
        <f t="shared" si="10"/>
        <v>115.32778491647719</v>
      </c>
      <c r="D21" s="11" t="str">
        <f t="shared" si="10"/>
        <v/>
      </c>
      <c r="E21" s="11" t="str">
        <f t="shared" si="10"/>
        <v/>
      </c>
      <c r="F21" s="11" t="str">
        <f t="shared" si="10"/>
        <v/>
      </c>
      <c r="G21" s="11" t="str">
        <f t="shared" si="10"/>
        <v/>
      </c>
      <c r="H21" s="17">
        <f t="shared" ref="H21:H23" si="11">SUM(B21:G21)</f>
        <v>172.25681841297398</v>
      </c>
      <c r="I21" s="49"/>
    </row>
    <row r="22" spans="1:13" hidden="1" x14ac:dyDescent="0.25">
      <c r="A22" s="19" t="s">
        <v>6</v>
      </c>
      <c r="B22" s="11">
        <f t="shared" ref="B22:G22" si="12">IF(B6&lt;&gt;"",B21-(B7-B6)*5.1,"")</f>
        <v>21.22903349649679</v>
      </c>
      <c r="C22" s="11">
        <f t="shared" si="12"/>
        <v>49.027784916477188</v>
      </c>
      <c r="D22" s="11" t="str">
        <f t="shared" si="12"/>
        <v/>
      </c>
      <c r="E22" s="11" t="str">
        <f t="shared" si="12"/>
        <v/>
      </c>
      <c r="F22" s="11" t="str">
        <f t="shared" si="12"/>
        <v/>
      </c>
      <c r="G22" s="11" t="str">
        <f t="shared" si="12"/>
        <v/>
      </c>
      <c r="H22" s="17">
        <f t="shared" si="11"/>
        <v>70.256818412973985</v>
      </c>
      <c r="I22" s="49"/>
    </row>
    <row r="23" spans="1:13" ht="20.25" hidden="1" x14ac:dyDescent="0.25">
      <c r="A23" s="19" t="s">
        <v>19</v>
      </c>
      <c r="B23" s="10">
        <f t="shared" ref="B23:G23" si="13">IF(B6&lt;&gt;"",B22*2.291/1000,"")</f>
        <v>4.863571574047415E-2</v>
      </c>
      <c r="C23" s="10">
        <f t="shared" si="13"/>
        <v>0.11232265524364923</v>
      </c>
      <c r="D23" s="10" t="str">
        <f t="shared" si="13"/>
        <v/>
      </c>
      <c r="E23" s="10" t="str">
        <f t="shared" si="13"/>
        <v/>
      </c>
      <c r="F23" s="1" t="str">
        <f t="shared" si="13"/>
        <v/>
      </c>
      <c r="G23" s="1" t="str">
        <f t="shared" si="13"/>
        <v/>
      </c>
      <c r="H23" s="16">
        <f t="shared" si="11"/>
        <v>0.16095837098412338</v>
      </c>
      <c r="I23" s="47"/>
    </row>
    <row r="24" spans="1:13" s="22" customFormat="1" ht="20.25" hidden="1" x14ac:dyDescent="0.25">
      <c r="A24" s="20" t="s">
        <v>28</v>
      </c>
      <c r="B24" s="21"/>
      <c r="C24" s="21"/>
      <c r="D24" s="21"/>
      <c r="E24" s="21"/>
      <c r="H24" s="23">
        <f>H23*K20</f>
        <v>0.43941635278665686</v>
      </c>
      <c r="I24" s="48"/>
      <c r="L24" s="24"/>
      <c r="M24" s="36"/>
    </row>
    <row r="25" spans="1:13" s="3" customFormat="1" hidden="1" x14ac:dyDescent="0.25">
      <c r="H25" s="7"/>
      <c r="I25" s="7"/>
      <c r="L25" s="4"/>
      <c r="M25" s="34"/>
    </row>
    <row r="26" spans="1:13" hidden="1" x14ac:dyDescent="0.25">
      <c r="A26" s="19" t="s">
        <v>7</v>
      </c>
      <c r="B26" s="6">
        <f t="shared" ref="B26:G26" si="14">IF(B6&lt;&gt;"",B19/(B7-B6)*1000,"")</f>
        <v>19.050222350193565</v>
      </c>
      <c r="C26" s="6">
        <f t="shared" si="14"/>
        <v>24.671085732823393</v>
      </c>
      <c r="D26" s="6" t="str">
        <f t="shared" si="14"/>
        <v/>
      </c>
      <c r="E26" s="6" t="str">
        <f t="shared" si="14"/>
        <v/>
      </c>
      <c r="F26" s="10" t="str">
        <f t="shared" si="14"/>
        <v/>
      </c>
      <c r="G26" s="10" t="str">
        <f t="shared" si="14"/>
        <v/>
      </c>
      <c r="H26" s="18">
        <f>H19/(H7-H6)*1000</f>
        <v>22.703783548902951</v>
      </c>
      <c r="I26" s="50"/>
    </row>
    <row r="27" spans="1:13" hidden="1" x14ac:dyDescent="0.25">
      <c r="A27" s="19" t="s">
        <v>8</v>
      </c>
      <c r="B27" s="6">
        <f t="shared" ref="B27:G27" si="15">IF(B6&lt;&gt;"",B22/(B7-B6),"")</f>
        <v>3.0327190709281129</v>
      </c>
      <c r="C27" s="6">
        <f t="shared" si="15"/>
        <v>3.7713680704982453</v>
      </c>
      <c r="D27" s="6" t="str">
        <f t="shared" si="15"/>
        <v/>
      </c>
      <c r="E27" s="6" t="str">
        <f t="shared" si="15"/>
        <v/>
      </c>
      <c r="F27" s="6" t="str">
        <f t="shared" si="15"/>
        <v/>
      </c>
      <c r="G27" s="6" t="str">
        <f t="shared" si="15"/>
        <v/>
      </c>
      <c r="H27" s="16">
        <f>H22/(H7-H6)</f>
        <v>3.5128409206486992</v>
      </c>
      <c r="I27" s="47"/>
    </row>
    <row r="28" spans="1:13" hidden="1" x14ac:dyDescent="0.25"/>
    <row r="29" spans="1:13" hidden="1" x14ac:dyDescent="0.25"/>
    <row r="31" spans="1:13" s="26" customFormat="1" x14ac:dyDescent="0.25">
      <c r="A31" s="90" t="s">
        <v>61</v>
      </c>
      <c r="B31" s="90"/>
      <c r="C31" s="90"/>
      <c r="D31" s="90"/>
      <c r="E31" s="90"/>
      <c r="F31" s="90"/>
      <c r="G31" s="90"/>
      <c r="H31" s="90"/>
      <c r="I31" s="74"/>
      <c r="L31" s="74"/>
      <c r="M31" s="35"/>
    </row>
    <row r="32" spans="1:13" s="32" customFormat="1" x14ac:dyDescent="0.25">
      <c r="A32" s="51" t="s">
        <v>43</v>
      </c>
      <c r="B32" s="89" t="s">
        <v>59</v>
      </c>
      <c r="C32" s="89"/>
      <c r="D32" s="89"/>
      <c r="E32" s="89"/>
      <c r="F32" s="89"/>
      <c r="G32" s="89"/>
      <c r="H32" s="89"/>
      <c r="I32" s="72"/>
      <c r="L32" s="33"/>
      <c r="M32" s="34"/>
    </row>
    <row r="33" spans="1:13" s="26" customFormat="1" x14ac:dyDescent="0.25">
      <c r="A33" s="51" t="s">
        <v>44</v>
      </c>
      <c r="B33" s="89" t="s">
        <v>60</v>
      </c>
      <c r="C33" s="89"/>
      <c r="D33" s="89"/>
      <c r="E33" s="89"/>
      <c r="F33" s="89"/>
      <c r="G33" s="89"/>
      <c r="H33" s="89"/>
      <c r="I33" s="73"/>
      <c r="L33" s="74"/>
      <c r="M33" s="35"/>
    </row>
    <row r="34" spans="1:13" s="13" customFormat="1" x14ac:dyDescent="0.25">
      <c r="H34" s="69"/>
      <c r="I34" s="69"/>
      <c r="L34" s="70"/>
      <c r="M34" s="71"/>
    </row>
    <row r="35" spans="1:13" s="13" customFormat="1" x14ac:dyDescent="0.25">
      <c r="H35" s="69"/>
      <c r="I35" s="69"/>
      <c r="L35" s="70"/>
      <c r="M35" s="71"/>
    </row>
    <row r="36" spans="1:13" x14ac:dyDescent="0.25">
      <c r="A36" s="68" t="s">
        <v>49</v>
      </c>
      <c r="B36" s="80"/>
      <c r="C36" s="81"/>
      <c r="D36" s="81"/>
      <c r="E36" s="81"/>
      <c r="F36" s="81"/>
      <c r="G36" s="81"/>
      <c r="H36" s="82"/>
    </row>
    <row r="37" spans="1:13" x14ac:dyDescent="0.25">
      <c r="A37" s="13"/>
      <c r="B37" s="83"/>
      <c r="C37" s="84"/>
      <c r="D37" s="84"/>
      <c r="E37" s="84"/>
      <c r="F37" s="84"/>
      <c r="G37" s="84"/>
      <c r="H37" s="85"/>
    </row>
    <row r="38" spans="1:13" x14ac:dyDescent="0.25">
      <c r="A38" s="13"/>
      <c r="B38" s="83"/>
      <c r="C38" s="84"/>
      <c r="D38" s="84"/>
      <c r="E38" s="84"/>
      <c r="F38" s="84"/>
      <c r="G38" s="84"/>
      <c r="H38" s="85"/>
    </row>
    <row r="39" spans="1:13" x14ac:dyDescent="0.25">
      <c r="A39" s="13"/>
      <c r="B39" s="86"/>
      <c r="C39" s="87"/>
      <c r="D39" s="87"/>
      <c r="E39" s="87"/>
      <c r="F39" s="87"/>
      <c r="G39" s="87"/>
      <c r="H39" s="88"/>
    </row>
    <row r="40" spans="1:13" x14ac:dyDescent="0.25">
      <c r="A40" s="13"/>
    </row>
  </sheetData>
  <sheetProtection password="CC42" sheet="1" objects="1" scenarios="1" formatColumns="0"/>
  <mergeCells count="26">
    <mergeCell ref="A31:H31"/>
    <mergeCell ref="B32:H32"/>
    <mergeCell ref="B33:H33"/>
    <mergeCell ref="B36:H39"/>
    <mergeCell ref="M8:M11"/>
    <mergeCell ref="I14:I15"/>
    <mergeCell ref="J14:J15"/>
    <mergeCell ref="K14:K15"/>
    <mergeCell ref="M15:M16"/>
    <mergeCell ref="I16:I17"/>
    <mergeCell ref="J16:J17"/>
    <mergeCell ref="K16:K17"/>
    <mergeCell ref="J8:J9"/>
    <mergeCell ref="K8:K9"/>
    <mergeCell ref="I10:I11"/>
    <mergeCell ref="J10:J11"/>
    <mergeCell ref="K10:K11"/>
    <mergeCell ref="I12:I13"/>
    <mergeCell ref="J12:J13"/>
    <mergeCell ref="K12:K13"/>
    <mergeCell ref="B1:C1"/>
    <mergeCell ref="D1:F2"/>
    <mergeCell ref="B2:C2"/>
    <mergeCell ref="B3:C3"/>
    <mergeCell ref="I5:I7"/>
    <mergeCell ref="I8:I9"/>
  </mergeCells>
  <conditionalFormatting sqref="B13:G24 B26:G27 B6:G11">
    <cfRule type="expression" dxfId="0" priority="1">
      <formula>B$7&lt;&gt;""</formula>
    </cfRule>
  </conditionalFormatting>
  <dataValidations count="3">
    <dataValidation type="list" allowBlank="1" showInputMessage="1" showErrorMessage="1" errorTitle="Achtung:" error="mit x kennzeichnen, wenn Futter Daten enthalten soll." promptTitle="Hinweis:" prompt="Mit x kennzeichnen, wenn diese Futtergruppe berücksichtigt werden soll - ansonsten x löschen!" sqref="B4:G4">
      <formula1>"x"</formula1>
    </dataValidation>
    <dataValidation type="whole" allowBlank="1" showInputMessage="1" showErrorMessage="1" errorTitle="Achtung:" error="Nur ganze Zahlen zwischen 5 und 125!" sqref="B6">
      <formula1>5</formula1>
      <formula2>125</formula2>
    </dataValidation>
    <dataValidation type="custom" allowBlank="1" showInputMessage="1" showErrorMessage="1" errorTitle="Achtung:" error="Nur Zahlen zwischen dem Eintrag in Zeile 2 und 125!" sqref="B7:G7">
      <formula1>AND(B7&gt;B6,B7&lt;=125)</formula1>
    </dataValidation>
  </dataValidations>
  <pageMargins left="0.70866141732283472" right="0.70866141732283472" top="0.78740157480314965" bottom="0.59055118110236227" header="0.31496062992125984" footer="0.31496062992125984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121"/>
  <sheetViews>
    <sheetView zoomScale="120" zoomScaleNormal="120" workbookViewId="0">
      <selection activeCell="K17" sqref="K17"/>
    </sheetView>
  </sheetViews>
  <sheetFormatPr baseColWidth="10" defaultRowHeight="18.75" x14ac:dyDescent="0.25"/>
  <cols>
    <col min="1" max="1" width="39.5703125" style="1" bestFit="1" customWidth="1"/>
    <col min="2" max="2" width="4" style="1" customWidth="1"/>
    <col min="3" max="3" width="2.140625" style="2" bestFit="1" customWidth="1"/>
    <col min="4" max="4" width="5.5703125" style="1" bestFit="1" customWidth="1"/>
    <col min="5" max="5" width="11.42578125" style="8"/>
    <col min="6" max="6" width="0" style="9" hidden="1" customWidth="1"/>
    <col min="7" max="7" width="0" style="1" hidden="1" customWidth="1"/>
    <col min="8" max="9" width="11.42578125" style="1" hidden="1" customWidth="1"/>
    <col min="10" max="16384" width="11.42578125" style="1"/>
  </cols>
  <sheetData>
    <row r="1" spans="1:9" x14ac:dyDescent="0.25">
      <c r="B1" s="1">
        <v>5</v>
      </c>
      <c r="D1" s="1">
        <v>5</v>
      </c>
      <c r="E1" s="8">
        <v>0</v>
      </c>
      <c r="H1" s="1">
        <v>5</v>
      </c>
      <c r="I1" s="1">
        <v>0</v>
      </c>
    </row>
    <row r="2" spans="1:9" x14ac:dyDescent="0.25">
      <c r="A2" s="1" t="s">
        <v>11</v>
      </c>
      <c r="B2" s="1">
        <v>5</v>
      </c>
      <c r="C2" s="2" t="s">
        <v>12</v>
      </c>
      <c r="D2" s="1">
        <v>10</v>
      </c>
      <c r="E2" s="8">
        <v>99</v>
      </c>
      <c r="F2" s="9">
        <f>(E2-E1)/5</f>
        <v>19.8</v>
      </c>
      <c r="H2" s="1">
        <v>6</v>
      </c>
      <c r="I2" s="1">
        <v>19.8</v>
      </c>
    </row>
    <row r="3" spans="1:9" x14ac:dyDescent="0.25">
      <c r="A3" s="1" t="s">
        <v>11</v>
      </c>
      <c r="B3" s="1">
        <v>5</v>
      </c>
      <c r="C3" s="2" t="s">
        <v>12</v>
      </c>
      <c r="D3" s="1">
        <v>15</v>
      </c>
      <c r="E3" s="8">
        <v>206</v>
      </c>
      <c r="F3" s="9">
        <f t="shared" ref="F3:F24" si="0">(E3-E2)/5</f>
        <v>21.4</v>
      </c>
      <c r="H3" s="1">
        <v>7</v>
      </c>
      <c r="I3" s="1">
        <v>39.6</v>
      </c>
    </row>
    <row r="4" spans="1:9" x14ac:dyDescent="0.25">
      <c r="A4" s="1" t="s">
        <v>11</v>
      </c>
      <c r="B4" s="1">
        <v>5</v>
      </c>
      <c r="C4" s="2" t="s">
        <v>12</v>
      </c>
      <c r="D4" s="1">
        <v>20</v>
      </c>
      <c r="E4" s="8">
        <v>318</v>
      </c>
      <c r="F4" s="9">
        <f t="shared" si="0"/>
        <v>22.4</v>
      </c>
      <c r="H4" s="1">
        <v>8</v>
      </c>
      <c r="I4" s="1">
        <v>59.400000000000006</v>
      </c>
    </row>
    <row r="5" spans="1:9" x14ac:dyDescent="0.25">
      <c r="A5" s="1" t="s">
        <v>11</v>
      </c>
      <c r="B5" s="1">
        <v>5</v>
      </c>
      <c r="C5" s="2" t="s">
        <v>12</v>
      </c>
      <c r="D5" s="1">
        <v>25</v>
      </c>
      <c r="E5" s="8">
        <v>438</v>
      </c>
      <c r="F5" s="9">
        <f t="shared" si="0"/>
        <v>24</v>
      </c>
      <c r="H5" s="1">
        <v>9</v>
      </c>
      <c r="I5" s="1">
        <v>79.2</v>
      </c>
    </row>
    <row r="6" spans="1:9" x14ac:dyDescent="0.25">
      <c r="A6" s="1" t="s">
        <v>11</v>
      </c>
      <c r="B6" s="1">
        <v>5</v>
      </c>
      <c r="C6" s="2" t="s">
        <v>12</v>
      </c>
      <c r="D6" s="1">
        <v>30</v>
      </c>
      <c r="E6" s="8">
        <v>562</v>
      </c>
      <c r="F6" s="9">
        <f t="shared" si="0"/>
        <v>24.8</v>
      </c>
      <c r="H6" s="1">
        <v>10</v>
      </c>
      <c r="I6" s="1">
        <v>99</v>
      </c>
    </row>
    <row r="7" spans="1:9" x14ac:dyDescent="0.25">
      <c r="A7" s="1" t="s">
        <v>11</v>
      </c>
      <c r="B7" s="1">
        <v>5</v>
      </c>
      <c r="C7" s="2" t="s">
        <v>12</v>
      </c>
      <c r="D7" s="1">
        <v>35</v>
      </c>
      <c r="E7" s="8">
        <v>694</v>
      </c>
      <c r="F7" s="9">
        <f t="shared" si="0"/>
        <v>26.4</v>
      </c>
      <c r="H7" s="1">
        <v>11</v>
      </c>
      <c r="I7" s="1">
        <v>120.4</v>
      </c>
    </row>
    <row r="8" spans="1:9" x14ac:dyDescent="0.25">
      <c r="A8" s="1" t="s">
        <v>11</v>
      </c>
      <c r="B8" s="1">
        <v>5</v>
      </c>
      <c r="C8" s="2" t="s">
        <v>12</v>
      </c>
      <c r="D8" s="1">
        <v>40</v>
      </c>
      <c r="E8" s="8">
        <v>832</v>
      </c>
      <c r="F8" s="9">
        <f t="shared" si="0"/>
        <v>27.6</v>
      </c>
      <c r="H8" s="1">
        <v>12</v>
      </c>
      <c r="I8" s="1">
        <v>141.80000000000001</v>
      </c>
    </row>
    <row r="9" spans="1:9" x14ac:dyDescent="0.25">
      <c r="A9" s="1" t="s">
        <v>11</v>
      </c>
      <c r="B9" s="1">
        <v>5</v>
      </c>
      <c r="C9" s="2" t="s">
        <v>12</v>
      </c>
      <c r="D9" s="1">
        <v>45</v>
      </c>
      <c r="E9" s="8">
        <v>978</v>
      </c>
      <c r="F9" s="9">
        <f t="shared" si="0"/>
        <v>29.2</v>
      </c>
      <c r="H9" s="1">
        <v>13</v>
      </c>
      <c r="I9" s="1">
        <v>163.20000000000002</v>
      </c>
    </row>
    <row r="10" spans="1:9" x14ac:dyDescent="0.25">
      <c r="A10" s="1" t="s">
        <v>11</v>
      </c>
      <c r="B10" s="1">
        <v>5</v>
      </c>
      <c r="C10" s="2" t="s">
        <v>12</v>
      </c>
      <c r="D10" s="1">
        <v>50</v>
      </c>
      <c r="E10" s="8">
        <v>1130</v>
      </c>
      <c r="F10" s="9">
        <f t="shared" si="0"/>
        <v>30.4</v>
      </c>
      <c r="H10" s="1">
        <v>14</v>
      </c>
      <c r="I10" s="1">
        <v>184.60000000000002</v>
      </c>
    </row>
    <row r="11" spans="1:9" x14ac:dyDescent="0.25">
      <c r="A11" s="1" t="s">
        <v>11</v>
      </c>
      <c r="B11" s="1">
        <v>5</v>
      </c>
      <c r="C11" s="2" t="s">
        <v>12</v>
      </c>
      <c r="D11" s="1">
        <v>55</v>
      </c>
      <c r="E11" s="8">
        <v>1288</v>
      </c>
      <c r="F11" s="9">
        <f t="shared" si="0"/>
        <v>31.6</v>
      </c>
      <c r="H11" s="1">
        <v>15</v>
      </c>
      <c r="I11" s="1">
        <v>206</v>
      </c>
    </row>
    <row r="12" spans="1:9" x14ac:dyDescent="0.25">
      <c r="A12" s="1" t="s">
        <v>11</v>
      </c>
      <c r="B12" s="1">
        <v>5</v>
      </c>
      <c r="C12" s="2" t="s">
        <v>12</v>
      </c>
      <c r="D12" s="1">
        <v>60</v>
      </c>
      <c r="E12" s="8">
        <v>1452</v>
      </c>
      <c r="F12" s="9">
        <f t="shared" si="0"/>
        <v>32.799999999999997</v>
      </c>
      <c r="H12" s="1">
        <v>16</v>
      </c>
      <c r="I12" s="1">
        <v>228.4</v>
      </c>
    </row>
    <row r="13" spans="1:9" x14ac:dyDescent="0.25">
      <c r="A13" s="1" t="s">
        <v>11</v>
      </c>
      <c r="B13" s="1">
        <v>5</v>
      </c>
      <c r="C13" s="2" t="s">
        <v>12</v>
      </c>
      <c r="D13" s="1">
        <v>65</v>
      </c>
      <c r="E13" s="8">
        <v>1621</v>
      </c>
      <c r="F13" s="9">
        <f t="shared" si="0"/>
        <v>33.799999999999997</v>
      </c>
      <c r="H13" s="1">
        <v>17</v>
      </c>
      <c r="I13" s="1">
        <v>250.8</v>
      </c>
    </row>
    <row r="14" spans="1:9" x14ac:dyDescent="0.25">
      <c r="A14" s="1" t="s">
        <v>11</v>
      </c>
      <c r="B14" s="1">
        <v>5</v>
      </c>
      <c r="C14" s="2" t="s">
        <v>12</v>
      </c>
      <c r="D14" s="1">
        <v>70</v>
      </c>
      <c r="E14" s="8">
        <v>1794</v>
      </c>
      <c r="F14" s="9">
        <f t="shared" si="0"/>
        <v>34.6</v>
      </c>
      <c r="H14" s="1">
        <v>18</v>
      </c>
      <c r="I14" s="1">
        <v>273.2</v>
      </c>
    </row>
    <row r="15" spans="1:9" x14ac:dyDescent="0.25">
      <c r="A15" s="1" t="s">
        <v>11</v>
      </c>
      <c r="B15" s="1">
        <v>5</v>
      </c>
      <c r="C15" s="2" t="s">
        <v>12</v>
      </c>
      <c r="D15" s="1">
        <v>75</v>
      </c>
      <c r="E15" s="8">
        <v>1972</v>
      </c>
      <c r="F15" s="9">
        <f t="shared" si="0"/>
        <v>35.6</v>
      </c>
      <c r="H15" s="1">
        <v>19</v>
      </c>
      <c r="I15" s="1">
        <v>295.59999999999997</v>
      </c>
    </row>
    <row r="16" spans="1:9" x14ac:dyDescent="0.25">
      <c r="A16" s="1" t="s">
        <v>11</v>
      </c>
      <c r="B16" s="1">
        <v>5</v>
      </c>
      <c r="C16" s="2" t="s">
        <v>12</v>
      </c>
      <c r="D16" s="1">
        <v>80</v>
      </c>
      <c r="E16" s="8">
        <v>2157</v>
      </c>
      <c r="F16" s="9">
        <f t="shared" si="0"/>
        <v>37</v>
      </c>
      <c r="H16" s="1">
        <v>20</v>
      </c>
      <c r="I16" s="1">
        <v>318</v>
      </c>
    </row>
    <row r="17" spans="1:9" x14ac:dyDescent="0.25">
      <c r="A17" s="1" t="s">
        <v>11</v>
      </c>
      <c r="B17" s="1">
        <v>5</v>
      </c>
      <c r="C17" s="2" t="s">
        <v>12</v>
      </c>
      <c r="D17" s="1">
        <v>85</v>
      </c>
      <c r="E17" s="8">
        <v>2347</v>
      </c>
      <c r="F17" s="9">
        <f t="shared" si="0"/>
        <v>38</v>
      </c>
      <c r="H17" s="1">
        <v>21</v>
      </c>
      <c r="I17" s="1">
        <v>342</v>
      </c>
    </row>
    <row r="18" spans="1:9" x14ac:dyDescent="0.25">
      <c r="A18" s="1" t="s">
        <v>11</v>
      </c>
      <c r="B18" s="1">
        <v>5</v>
      </c>
      <c r="C18" s="2" t="s">
        <v>12</v>
      </c>
      <c r="D18" s="1">
        <v>90</v>
      </c>
      <c r="E18" s="8">
        <v>2541</v>
      </c>
      <c r="F18" s="9">
        <f t="shared" si="0"/>
        <v>38.799999999999997</v>
      </c>
      <c r="H18" s="1">
        <v>22</v>
      </c>
      <c r="I18" s="1">
        <v>366</v>
      </c>
    </row>
    <row r="19" spans="1:9" x14ac:dyDescent="0.25">
      <c r="A19" s="1" t="s">
        <v>11</v>
      </c>
      <c r="B19" s="1">
        <v>5</v>
      </c>
      <c r="C19" s="2" t="s">
        <v>12</v>
      </c>
      <c r="D19" s="1">
        <v>95</v>
      </c>
      <c r="E19" s="8">
        <v>2741</v>
      </c>
      <c r="F19" s="9">
        <f t="shared" si="0"/>
        <v>40</v>
      </c>
      <c r="H19" s="1">
        <v>23</v>
      </c>
      <c r="I19" s="1">
        <v>390</v>
      </c>
    </row>
    <row r="20" spans="1:9" x14ac:dyDescent="0.25">
      <c r="A20" s="1" t="s">
        <v>11</v>
      </c>
      <c r="B20" s="1">
        <v>5</v>
      </c>
      <c r="C20" s="2" t="s">
        <v>12</v>
      </c>
      <c r="D20" s="1">
        <v>100</v>
      </c>
      <c r="E20" s="8">
        <v>2949</v>
      </c>
      <c r="F20" s="9">
        <f t="shared" si="0"/>
        <v>41.6</v>
      </c>
      <c r="H20" s="1">
        <v>24</v>
      </c>
      <c r="I20" s="1">
        <v>414</v>
      </c>
    </row>
    <row r="21" spans="1:9" x14ac:dyDescent="0.25">
      <c r="A21" s="1" t="s">
        <v>11</v>
      </c>
      <c r="B21" s="1">
        <v>5</v>
      </c>
      <c r="C21" s="2" t="s">
        <v>12</v>
      </c>
      <c r="D21" s="1">
        <v>105</v>
      </c>
      <c r="E21" s="8">
        <v>3167</v>
      </c>
      <c r="F21" s="9">
        <f t="shared" si="0"/>
        <v>43.6</v>
      </c>
      <c r="H21" s="1">
        <v>25</v>
      </c>
      <c r="I21" s="1">
        <v>438</v>
      </c>
    </row>
    <row r="22" spans="1:9" x14ac:dyDescent="0.25">
      <c r="A22" s="1" t="s">
        <v>11</v>
      </c>
      <c r="B22" s="1">
        <v>5</v>
      </c>
      <c r="C22" s="2" t="s">
        <v>12</v>
      </c>
      <c r="D22" s="1">
        <v>110</v>
      </c>
      <c r="E22" s="8">
        <v>3395</v>
      </c>
      <c r="F22" s="9">
        <f t="shared" si="0"/>
        <v>45.6</v>
      </c>
      <c r="H22" s="1">
        <v>26</v>
      </c>
      <c r="I22" s="1">
        <v>462.8</v>
      </c>
    </row>
    <row r="23" spans="1:9" x14ac:dyDescent="0.25">
      <c r="A23" s="1" t="s">
        <v>11</v>
      </c>
      <c r="B23" s="1">
        <v>5</v>
      </c>
      <c r="C23" s="2" t="s">
        <v>12</v>
      </c>
      <c r="D23" s="1">
        <v>115</v>
      </c>
      <c r="E23" s="8">
        <v>3632</v>
      </c>
      <c r="F23" s="9">
        <f t="shared" si="0"/>
        <v>47.4</v>
      </c>
      <c r="H23" s="1">
        <v>27</v>
      </c>
      <c r="I23" s="1">
        <v>487.6</v>
      </c>
    </row>
    <row r="24" spans="1:9" x14ac:dyDescent="0.25">
      <c r="A24" s="1" t="s">
        <v>11</v>
      </c>
      <c r="B24" s="1">
        <v>5</v>
      </c>
      <c r="C24" s="2" t="s">
        <v>12</v>
      </c>
      <c r="D24" s="1">
        <v>120</v>
      </c>
      <c r="E24" s="8">
        <v>3880</v>
      </c>
      <c r="F24" s="9">
        <f t="shared" si="0"/>
        <v>49.6</v>
      </c>
      <c r="H24" s="1">
        <v>28</v>
      </c>
      <c r="I24" s="1">
        <v>512.4</v>
      </c>
    </row>
    <row r="25" spans="1:9" x14ac:dyDescent="0.25">
      <c r="H25" s="1">
        <v>29</v>
      </c>
      <c r="I25" s="1">
        <v>537.19999999999993</v>
      </c>
    </row>
    <row r="26" spans="1:9" x14ac:dyDescent="0.25">
      <c r="H26" s="1">
        <v>30</v>
      </c>
      <c r="I26" s="1">
        <v>562</v>
      </c>
    </row>
    <row r="27" spans="1:9" x14ac:dyDescent="0.25">
      <c r="H27" s="1">
        <v>31</v>
      </c>
      <c r="I27" s="1">
        <v>588.4</v>
      </c>
    </row>
    <row r="28" spans="1:9" x14ac:dyDescent="0.25">
      <c r="H28" s="1">
        <v>32</v>
      </c>
      <c r="I28" s="1">
        <v>614.79999999999995</v>
      </c>
    </row>
    <row r="29" spans="1:9" x14ac:dyDescent="0.25">
      <c r="H29" s="1">
        <v>33</v>
      </c>
      <c r="I29" s="1">
        <v>641.19999999999993</v>
      </c>
    </row>
    <row r="30" spans="1:9" x14ac:dyDescent="0.25">
      <c r="H30" s="1">
        <v>34</v>
      </c>
      <c r="I30" s="1">
        <v>667.59999999999991</v>
      </c>
    </row>
    <row r="31" spans="1:9" x14ac:dyDescent="0.25">
      <c r="H31" s="1">
        <v>35</v>
      </c>
      <c r="I31" s="1">
        <v>694</v>
      </c>
    </row>
    <row r="32" spans="1:9" x14ac:dyDescent="0.25">
      <c r="H32" s="1">
        <v>36</v>
      </c>
      <c r="I32" s="1">
        <v>721.6</v>
      </c>
    </row>
    <row r="33" spans="8:9" x14ac:dyDescent="0.25">
      <c r="H33" s="1">
        <v>37</v>
      </c>
      <c r="I33" s="1">
        <v>749.2</v>
      </c>
    </row>
    <row r="34" spans="8:9" x14ac:dyDescent="0.25">
      <c r="H34" s="1">
        <v>38</v>
      </c>
      <c r="I34" s="1">
        <v>776.80000000000007</v>
      </c>
    </row>
    <row r="35" spans="8:9" x14ac:dyDescent="0.25">
      <c r="H35" s="1">
        <v>39</v>
      </c>
      <c r="I35" s="1">
        <v>804.40000000000009</v>
      </c>
    </row>
    <row r="36" spans="8:9" x14ac:dyDescent="0.25">
      <c r="H36" s="1">
        <v>40</v>
      </c>
      <c r="I36" s="1">
        <v>832</v>
      </c>
    </row>
    <row r="37" spans="8:9" x14ac:dyDescent="0.25">
      <c r="H37" s="1">
        <v>41</v>
      </c>
      <c r="I37" s="1">
        <v>861.2</v>
      </c>
    </row>
    <row r="38" spans="8:9" x14ac:dyDescent="0.25">
      <c r="H38" s="1">
        <v>42</v>
      </c>
      <c r="I38" s="1">
        <v>890.40000000000009</v>
      </c>
    </row>
    <row r="39" spans="8:9" x14ac:dyDescent="0.25">
      <c r="H39" s="1">
        <v>43</v>
      </c>
      <c r="I39" s="1">
        <v>919.60000000000014</v>
      </c>
    </row>
    <row r="40" spans="8:9" x14ac:dyDescent="0.25">
      <c r="H40" s="1">
        <v>44</v>
      </c>
      <c r="I40" s="1">
        <v>948.80000000000018</v>
      </c>
    </row>
    <row r="41" spans="8:9" x14ac:dyDescent="0.25">
      <c r="H41" s="1">
        <v>45</v>
      </c>
      <c r="I41" s="1">
        <v>978</v>
      </c>
    </row>
    <row r="42" spans="8:9" x14ac:dyDescent="0.25">
      <c r="H42" s="1">
        <v>46</v>
      </c>
      <c r="I42" s="1">
        <v>1008.4</v>
      </c>
    </row>
    <row r="43" spans="8:9" x14ac:dyDescent="0.25">
      <c r="H43" s="1">
        <v>47</v>
      </c>
      <c r="I43" s="1">
        <v>1038.8</v>
      </c>
    </row>
    <row r="44" spans="8:9" x14ac:dyDescent="0.25">
      <c r="H44" s="1">
        <v>48</v>
      </c>
      <c r="I44" s="1">
        <v>1069.2</v>
      </c>
    </row>
    <row r="45" spans="8:9" x14ac:dyDescent="0.25">
      <c r="H45" s="1">
        <v>49</v>
      </c>
      <c r="I45" s="1">
        <v>1099.6000000000001</v>
      </c>
    </row>
    <row r="46" spans="8:9" x14ac:dyDescent="0.25">
      <c r="H46" s="1">
        <v>50</v>
      </c>
      <c r="I46" s="1">
        <v>1130</v>
      </c>
    </row>
    <row r="47" spans="8:9" x14ac:dyDescent="0.25">
      <c r="H47" s="1">
        <v>51</v>
      </c>
      <c r="I47" s="1">
        <v>1161.5999999999999</v>
      </c>
    </row>
    <row r="48" spans="8:9" x14ac:dyDescent="0.25">
      <c r="H48" s="1">
        <v>52</v>
      </c>
      <c r="I48" s="1">
        <v>1193.1999999999998</v>
      </c>
    </row>
    <row r="49" spans="8:9" x14ac:dyDescent="0.25">
      <c r="H49" s="1">
        <v>53</v>
      </c>
      <c r="I49" s="1">
        <v>1224.7999999999997</v>
      </c>
    </row>
    <row r="50" spans="8:9" x14ac:dyDescent="0.25">
      <c r="H50" s="1">
        <v>54</v>
      </c>
      <c r="I50" s="1">
        <v>1256.3999999999996</v>
      </c>
    </row>
    <row r="51" spans="8:9" x14ac:dyDescent="0.25">
      <c r="H51" s="1">
        <v>55</v>
      </c>
      <c r="I51" s="1">
        <v>1288</v>
      </c>
    </row>
    <row r="52" spans="8:9" x14ac:dyDescent="0.25">
      <c r="H52" s="1">
        <v>56</v>
      </c>
      <c r="I52" s="1">
        <v>1320.8</v>
      </c>
    </row>
    <row r="53" spans="8:9" x14ac:dyDescent="0.25">
      <c r="H53" s="1">
        <v>57</v>
      </c>
      <c r="I53" s="1">
        <v>1353.6</v>
      </c>
    </row>
    <row r="54" spans="8:9" x14ac:dyDescent="0.25">
      <c r="H54" s="1">
        <v>58</v>
      </c>
      <c r="I54" s="1">
        <v>1386.3999999999999</v>
      </c>
    </row>
    <row r="55" spans="8:9" x14ac:dyDescent="0.25">
      <c r="H55" s="1">
        <v>59</v>
      </c>
      <c r="I55" s="1">
        <v>1419.1999999999998</v>
      </c>
    </row>
    <row r="56" spans="8:9" x14ac:dyDescent="0.25">
      <c r="H56" s="1">
        <v>60</v>
      </c>
      <c r="I56" s="1">
        <v>1452</v>
      </c>
    </row>
    <row r="57" spans="8:9" x14ac:dyDescent="0.25">
      <c r="H57" s="1">
        <v>61</v>
      </c>
      <c r="I57" s="1">
        <v>1485.8</v>
      </c>
    </row>
    <row r="58" spans="8:9" x14ac:dyDescent="0.25">
      <c r="H58" s="1">
        <v>62</v>
      </c>
      <c r="I58" s="1">
        <v>1519.6</v>
      </c>
    </row>
    <row r="59" spans="8:9" x14ac:dyDescent="0.25">
      <c r="H59" s="1">
        <v>63</v>
      </c>
      <c r="I59" s="1">
        <v>1553.3999999999999</v>
      </c>
    </row>
    <row r="60" spans="8:9" x14ac:dyDescent="0.25">
      <c r="H60" s="1">
        <v>64</v>
      </c>
      <c r="I60" s="1">
        <v>1587.1999999999998</v>
      </c>
    </row>
    <row r="61" spans="8:9" x14ac:dyDescent="0.25">
      <c r="H61" s="1">
        <v>65</v>
      </c>
      <c r="I61" s="1">
        <v>1621</v>
      </c>
    </row>
    <row r="62" spans="8:9" x14ac:dyDescent="0.25">
      <c r="H62" s="1">
        <v>66</v>
      </c>
      <c r="I62" s="1">
        <v>1655.6</v>
      </c>
    </row>
    <row r="63" spans="8:9" x14ac:dyDescent="0.25">
      <c r="H63" s="1">
        <v>67</v>
      </c>
      <c r="I63" s="1">
        <v>1690.1999999999998</v>
      </c>
    </row>
    <row r="64" spans="8:9" x14ac:dyDescent="0.25">
      <c r="H64" s="1">
        <v>68</v>
      </c>
      <c r="I64" s="1">
        <v>1724.7999999999997</v>
      </c>
    </row>
    <row r="65" spans="8:9" x14ac:dyDescent="0.25">
      <c r="H65" s="1">
        <v>69</v>
      </c>
      <c r="I65" s="1">
        <v>1759.3999999999996</v>
      </c>
    </row>
    <row r="66" spans="8:9" x14ac:dyDescent="0.25">
      <c r="H66" s="1">
        <v>70</v>
      </c>
      <c r="I66" s="1">
        <v>1794</v>
      </c>
    </row>
    <row r="67" spans="8:9" x14ac:dyDescent="0.25">
      <c r="H67" s="1">
        <v>71</v>
      </c>
      <c r="I67" s="1">
        <v>1829.6</v>
      </c>
    </row>
    <row r="68" spans="8:9" x14ac:dyDescent="0.25">
      <c r="H68" s="1">
        <v>72</v>
      </c>
      <c r="I68" s="1">
        <v>1865.1999999999998</v>
      </c>
    </row>
    <row r="69" spans="8:9" x14ac:dyDescent="0.25">
      <c r="H69" s="1">
        <v>73</v>
      </c>
      <c r="I69" s="1">
        <v>1900.7999999999997</v>
      </c>
    </row>
    <row r="70" spans="8:9" x14ac:dyDescent="0.25">
      <c r="H70" s="1">
        <v>74</v>
      </c>
      <c r="I70" s="1">
        <v>1936.3999999999996</v>
      </c>
    </row>
    <row r="71" spans="8:9" x14ac:dyDescent="0.25">
      <c r="H71" s="1">
        <v>75</v>
      </c>
      <c r="I71" s="1">
        <v>1972</v>
      </c>
    </row>
    <row r="72" spans="8:9" x14ac:dyDescent="0.25">
      <c r="H72" s="1">
        <v>76</v>
      </c>
      <c r="I72" s="1">
        <v>2009</v>
      </c>
    </row>
    <row r="73" spans="8:9" x14ac:dyDescent="0.25">
      <c r="H73" s="1">
        <v>77</v>
      </c>
      <c r="I73" s="1">
        <v>2046</v>
      </c>
    </row>
    <row r="74" spans="8:9" x14ac:dyDescent="0.25">
      <c r="H74" s="1">
        <v>78</v>
      </c>
      <c r="I74" s="1">
        <v>2083</v>
      </c>
    </row>
    <row r="75" spans="8:9" x14ac:dyDescent="0.25">
      <c r="H75" s="1">
        <v>79</v>
      </c>
      <c r="I75" s="1">
        <v>2120</v>
      </c>
    </row>
    <row r="76" spans="8:9" x14ac:dyDescent="0.25">
      <c r="H76" s="1">
        <v>80</v>
      </c>
      <c r="I76" s="1">
        <v>2157</v>
      </c>
    </row>
    <row r="77" spans="8:9" x14ac:dyDescent="0.25">
      <c r="H77" s="1">
        <v>81</v>
      </c>
      <c r="I77" s="1">
        <v>2195</v>
      </c>
    </row>
    <row r="78" spans="8:9" x14ac:dyDescent="0.25">
      <c r="H78" s="1">
        <v>82</v>
      </c>
      <c r="I78" s="1">
        <v>2233</v>
      </c>
    </row>
    <row r="79" spans="8:9" x14ac:dyDescent="0.25">
      <c r="H79" s="1">
        <v>83</v>
      </c>
      <c r="I79" s="1">
        <v>2271</v>
      </c>
    </row>
    <row r="80" spans="8:9" x14ac:dyDescent="0.25">
      <c r="H80" s="1">
        <v>84</v>
      </c>
      <c r="I80" s="1">
        <v>2309</v>
      </c>
    </row>
    <row r="81" spans="8:9" x14ac:dyDescent="0.25">
      <c r="H81" s="1">
        <v>85</v>
      </c>
      <c r="I81" s="1">
        <v>2347</v>
      </c>
    </row>
    <row r="82" spans="8:9" x14ac:dyDescent="0.25">
      <c r="H82" s="1">
        <v>86</v>
      </c>
      <c r="I82" s="1">
        <v>2385.8000000000002</v>
      </c>
    </row>
    <row r="83" spans="8:9" x14ac:dyDescent="0.25">
      <c r="H83" s="1">
        <v>87</v>
      </c>
      <c r="I83" s="1">
        <v>2424.6000000000004</v>
      </c>
    </row>
    <row r="84" spans="8:9" x14ac:dyDescent="0.25">
      <c r="H84" s="1">
        <v>88</v>
      </c>
      <c r="I84" s="1">
        <v>2463.4000000000005</v>
      </c>
    </row>
    <row r="85" spans="8:9" x14ac:dyDescent="0.25">
      <c r="H85" s="1">
        <v>89</v>
      </c>
      <c r="I85" s="1">
        <v>2502.2000000000007</v>
      </c>
    </row>
    <row r="86" spans="8:9" x14ac:dyDescent="0.25">
      <c r="H86" s="1">
        <v>90</v>
      </c>
      <c r="I86" s="1">
        <v>2541</v>
      </c>
    </row>
    <row r="87" spans="8:9" x14ac:dyDescent="0.25">
      <c r="H87" s="1">
        <v>91</v>
      </c>
      <c r="I87" s="1">
        <v>2581</v>
      </c>
    </row>
    <row r="88" spans="8:9" x14ac:dyDescent="0.25">
      <c r="H88" s="1">
        <v>92</v>
      </c>
      <c r="I88" s="1">
        <v>2621</v>
      </c>
    </row>
    <row r="89" spans="8:9" x14ac:dyDescent="0.25">
      <c r="H89" s="1">
        <v>93</v>
      </c>
      <c r="I89" s="1">
        <v>2661</v>
      </c>
    </row>
    <row r="90" spans="8:9" x14ac:dyDescent="0.25">
      <c r="H90" s="1">
        <v>94</v>
      </c>
      <c r="I90" s="1">
        <v>2701</v>
      </c>
    </row>
    <row r="91" spans="8:9" x14ac:dyDescent="0.25">
      <c r="H91" s="1">
        <v>95</v>
      </c>
      <c r="I91" s="1">
        <v>2741</v>
      </c>
    </row>
    <row r="92" spans="8:9" x14ac:dyDescent="0.25">
      <c r="H92" s="1">
        <v>96</v>
      </c>
      <c r="I92" s="1">
        <v>2782.6</v>
      </c>
    </row>
    <row r="93" spans="8:9" x14ac:dyDescent="0.25">
      <c r="H93" s="1">
        <v>97</v>
      </c>
      <c r="I93" s="1">
        <v>2824.2</v>
      </c>
    </row>
    <row r="94" spans="8:9" x14ac:dyDescent="0.25">
      <c r="H94" s="1">
        <v>98</v>
      </c>
      <c r="I94" s="1">
        <v>2865.7999999999997</v>
      </c>
    </row>
    <row r="95" spans="8:9" x14ac:dyDescent="0.25">
      <c r="H95" s="1">
        <v>99</v>
      </c>
      <c r="I95" s="1">
        <v>2907.3999999999996</v>
      </c>
    </row>
    <row r="96" spans="8:9" x14ac:dyDescent="0.25">
      <c r="H96" s="1">
        <v>100</v>
      </c>
      <c r="I96" s="1">
        <v>2949</v>
      </c>
    </row>
    <row r="97" spans="8:9" x14ac:dyDescent="0.25">
      <c r="H97" s="1">
        <v>101</v>
      </c>
      <c r="I97" s="1">
        <v>2992.6</v>
      </c>
    </row>
    <row r="98" spans="8:9" x14ac:dyDescent="0.25">
      <c r="H98" s="1">
        <v>102</v>
      </c>
      <c r="I98" s="1">
        <v>3036.2</v>
      </c>
    </row>
    <row r="99" spans="8:9" x14ac:dyDescent="0.25">
      <c r="H99" s="1">
        <v>103</v>
      </c>
      <c r="I99" s="1">
        <v>3079.7999999999997</v>
      </c>
    </row>
    <row r="100" spans="8:9" x14ac:dyDescent="0.25">
      <c r="H100" s="1">
        <v>104</v>
      </c>
      <c r="I100" s="1">
        <v>3123.3999999999996</v>
      </c>
    </row>
    <row r="101" spans="8:9" x14ac:dyDescent="0.25">
      <c r="H101" s="1">
        <v>105</v>
      </c>
      <c r="I101" s="1">
        <v>3167</v>
      </c>
    </row>
    <row r="102" spans="8:9" x14ac:dyDescent="0.25">
      <c r="H102" s="1">
        <v>106</v>
      </c>
      <c r="I102" s="1">
        <v>3212.6</v>
      </c>
    </row>
    <row r="103" spans="8:9" x14ac:dyDescent="0.25">
      <c r="H103" s="1">
        <v>107</v>
      </c>
      <c r="I103" s="1">
        <v>3258.2</v>
      </c>
    </row>
    <row r="104" spans="8:9" x14ac:dyDescent="0.25">
      <c r="H104" s="1">
        <v>108</v>
      </c>
      <c r="I104" s="1">
        <v>3303.7999999999997</v>
      </c>
    </row>
    <row r="105" spans="8:9" x14ac:dyDescent="0.25">
      <c r="H105" s="1">
        <v>109</v>
      </c>
      <c r="I105" s="1">
        <v>3349.3999999999996</v>
      </c>
    </row>
    <row r="106" spans="8:9" x14ac:dyDescent="0.25">
      <c r="H106" s="1">
        <v>110</v>
      </c>
      <c r="I106" s="1">
        <v>3395</v>
      </c>
    </row>
    <row r="107" spans="8:9" x14ac:dyDescent="0.25">
      <c r="H107" s="1">
        <v>111</v>
      </c>
      <c r="I107" s="1">
        <v>3442.4</v>
      </c>
    </row>
    <row r="108" spans="8:9" x14ac:dyDescent="0.25">
      <c r="H108" s="1">
        <v>112</v>
      </c>
      <c r="I108" s="1">
        <v>3489.8</v>
      </c>
    </row>
    <row r="109" spans="8:9" x14ac:dyDescent="0.25">
      <c r="H109" s="1">
        <v>113</v>
      </c>
      <c r="I109" s="1">
        <v>3537.2000000000003</v>
      </c>
    </row>
    <row r="110" spans="8:9" x14ac:dyDescent="0.25">
      <c r="H110" s="1">
        <v>114</v>
      </c>
      <c r="I110" s="1">
        <v>3584.6000000000004</v>
      </c>
    </row>
    <row r="111" spans="8:9" x14ac:dyDescent="0.25">
      <c r="H111" s="1">
        <v>115</v>
      </c>
      <c r="I111" s="1">
        <v>3632</v>
      </c>
    </row>
    <row r="112" spans="8:9" x14ac:dyDescent="0.25">
      <c r="H112" s="1">
        <v>116</v>
      </c>
      <c r="I112" s="1">
        <v>3681.6</v>
      </c>
    </row>
    <row r="113" spans="8:9" x14ac:dyDescent="0.25">
      <c r="H113" s="1">
        <v>117</v>
      </c>
      <c r="I113" s="1">
        <v>3731.2</v>
      </c>
    </row>
    <row r="114" spans="8:9" x14ac:dyDescent="0.25">
      <c r="H114" s="1">
        <v>118</v>
      </c>
      <c r="I114" s="1">
        <v>3780.7999999999997</v>
      </c>
    </row>
    <row r="115" spans="8:9" x14ac:dyDescent="0.25">
      <c r="H115" s="1">
        <v>119</v>
      </c>
      <c r="I115" s="1">
        <v>3830.3999999999996</v>
      </c>
    </row>
    <row r="116" spans="8:9" x14ac:dyDescent="0.25">
      <c r="H116" s="1">
        <v>120</v>
      </c>
      <c r="I116" s="1">
        <v>3879.9999999999995</v>
      </c>
    </row>
    <row r="117" spans="8:9" x14ac:dyDescent="0.25">
      <c r="H117" s="1">
        <v>121</v>
      </c>
      <c r="I117" s="1">
        <v>3929.9999999999995</v>
      </c>
    </row>
    <row r="118" spans="8:9" x14ac:dyDescent="0.25">
      <c r="H118" s="1">
        <v>122</v>
      </c>
      <c r="I118" s="1">
        <v>3979.9999999999995</v>
      </c>
    </row>
    <row r="119" spans="8:9" x14ac:dyDescent="0.25">
      <c r="H119" s="1">
        <v>123</v>
      </c>
      <c r="I119" s="1">
        <v>4029.9999999999995</v>
      </c>
    </row>
    <row r="120" spans="8:9" x14ac:dyDescent="0.25">
      <c r="H120" s="1">
        <v>124</v>
      </c>
      <c r="I120" s="1">
        <v>4079.9999999999995</v>
      </c>
    </row>
    <row r="121" spans="8:9" x14ac:dyDescent="0.25">
      <c r="H121" s="1">
        <v>125</v>
      </c>
      <c r="I121" s="1">
        <v>4130</v>
      </c>
    </row>
  </sheetData>
  <sheetProtection password="E9E4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Anleitung</vt:lpstr>
      <vt:lpstr>Rechnung_Mast</vt:lpstr>
      <vt:lpstr>Rechnung_Ferkel</vt:lpstr>
      <vt:lpstr>Daten</vt:lpstr>
      <vt:lpstr>Bereich</vt:lpstr>
      <vt:lpstr>Rechnung_Ferkel!Druckbereich</vt:lpstr>
      <vt:lpstr>Rechnung_Mast!Druckbereich</vt:lpstr>
      <vt:lpstr>Rechnung_Ferkel!Faktor</vt:lpstr>
      <vt:lpstr>Faktor</vt:lpstr>
      <vt:lpstr>Anleitung!OLE_LINK2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Kuhlmann, Klemens</dc:creator>
  <cp:lastModifiedBy>Höne, Kornelia</cp:lastModifiedBy>
  <cp:lastPrinted>2018-11-27T08:02:45Z</cp:lastPrinted>
  <dcterms:created xsi:type="dcterms:W3CDTF">2014-10-22T06:32:52Z</dcterms:created>
  <dcterms:modified xsi:type="dcterms:W3CDTF">2019-02-05T14:02:58Z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